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b3hrQX3m2jKIlaqInTv4WBHomU4xs1Nzu+1D/UJ4x5DSuWYOr9NZIfDo65zmPL6rDSv9q7UxBaiaw4dw0VsBIQ==" workbookSaltValue="UjR+q+KMML5OFWgChg3Q3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I11" i="3"/>
  <c r="BG10" i="8"/>
  <c r="AL16" i="11"/>
  <c r="C16" i="6"/>
  <c r="X12" i="21"/>
  <c r="T9" i="11"/>
  <c r="BH17" i="16"/>
  <c r="BL17" i="11"/>
  <c r="V11" i="11"/>
  <c r="BI15" i="11"/>
  <c r="BG15" i="11"/>
  <c r="AP17" i="20"/>
  <c r="BU10" i="17"/>
  <c r="BW11" i="20"/>
  <c r="BU16" i="17"/>
  <c r="AZ12" i="11"/>
  <c r="BH10" i="11"/>
  <c r="BH10" i="16"/>
  <c r="BH16" i="11"/>
  <c r="L15" i="2"/>
  <c r="L16" i="2"/>
  <c r="X10" i="21"/>
  <c r="U9" i="17"/>
  <c r="U19" i="17" s="1"/>
  <c r="L9" i="2"/>
  <c r="V9" i="16"/>
  <c r="BH11" i="16"/>
  <c r="BJ12" i="11"/>
  <c r="BW12" i="20"/>
  <c r="BG12" i="11"/>
  <c r="BM17" i="11"/>
  <c r="BJ16" i="11"/>
  <c r="L12" i="2"/>
  <c r="X15" i="16"/>
  <c r="X18" i="16" s="1"/>
  <c r="V10" i="16"/>
  <c r="BM16" i="11"/>
  <c r="BF10" i="11"/>
  <c r="BM12" i="11"/>
  <c r="BK17" i="11"/>
  <c r="BU11" i="17"/>
  <c r="BW10" i="20"/>
  <c r="AQ10" i="21"/>
  <c r="L17" i="2"/>
  <c r="BF9" i="8"/>
  <c r="AB13" i="21"/>
  <c r="BE9" i="13"/>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3" i="11"/>
  <c r="B13" i="6"/>
  <c r="G19" i="7"/>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<sst xmlns="http://schemas.openxmlformats.org/spreadsheetml/2006/main" count="2102" uniqueCount="918">
  <si>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</si>
  <si>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</si>
  <si>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</si>
  <si>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</si>
  <si>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</si>
  <si>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</si>
  <si>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</si>
  <si>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</si>
  <si>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</si>
  <si>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</si>
  <si>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</si>
  <si>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</si>
  <si>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</si>
  <si>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</si>
  <si>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</si>
  <si>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</si>
  <si>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</si>
  <si>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</si>
  <si>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</si>
  <si>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</si>
  <si>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</si>
  <si>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</si>
  <si>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</si>
  <si>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</si>
  <si>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</si>
  <si>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</si>
  <si>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</si>
  <si>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</si>
  <si>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</si>
  <si>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</si>
  <si>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</si>
  <si>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</si>
  <si>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</si>
  <si>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</si>
  <si>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</si>
  <si>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</si>
  <si>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</si>
  <si>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</si>
  <si>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</si>
  <si>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</si>
  <si>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</si>
  <si>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</si>
  <si>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</si>
  <si>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</si>
  <si>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</si>
  <si>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</si>
  <si>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</si>
  <si>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</si>
  <si>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</si>
  <si>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</si>
  <si>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</si>
  <si>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</si>
  <si>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</si>
  <si>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</si>
  <si>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</si>
  <si>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</si>
  <si>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</si>
  <si>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</si>
  <si>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</si>
  <si>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</si>
  <si>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</si>
  <si>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</si>
  <si>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</si>
  <si>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</si>
  <si>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</si>
  <si>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</si>
  <si>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</si>
  <si>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</si>
  <si>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</si>
  <si>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</si>
  <si>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</si>
  <si>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</si>
  <si>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</si>
  <si>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</si>
  <si>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</si>
  <si>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</si>
  <si>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</si>
  <si>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</si>
  <si>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</si>
  <si>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</si>
  <si>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</si>
  <si>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</si>
  <si>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</si>
  <si>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</si>
  <si>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</si>
  <si>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</si>
  <si>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</si>
  <si>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</si>
  <si>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</si>
  <si>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</si>
  <si>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</si>
  <si>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</si>
  <si>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</si>
  <si>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</si>
  <si>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</si>
  <si>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</si>
  <si>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</si>
  <si>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</si>
  <si>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</si>
  <si>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</si>
  <si>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</si>
  <si>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</si>
  <si>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</si>
  <si>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</si>
  <si>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</si>
  <si>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</si>
  <si>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</si>
  <si>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</si>
  <si>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</si>
  <si>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</si>
  <si>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</si>
  <si>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</si>
  <si>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</si>
  <si>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</si>
  <si>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</si>
  <si>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</si>
  <si>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</si>
  <si>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</si>
  <si>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</si>
  <si>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</si>
  <si>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</si>
  <si>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</si>
  <si>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</si>
  <si>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</si>
  <si>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</si>
  <si>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</si>
  <si>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</si>
  <si>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</si>
  <si>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</si>
  <si>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</si>
  <si>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</si>
  <si>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</si>
  <si>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</si>
  <si>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</si>
  <si>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</si>
  <si>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</si>
  <si>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</si>
  <si>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</si>
  <si>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</si>
  <si>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</si>
  <si>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</si>
  <si>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</si>
  <si>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</si>
  <si>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</si>
  <si>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</si>
  <si>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</si>
  <si>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</si>
  <si>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</si>
  <si>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</si>
  <si>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</si>
  <si>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</si>
  <si>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</si>
  <si>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</si>
  <si>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</si>
  <si>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</si>
  <si>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</si>
  <si>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</si>
  <si>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</si>
  <si>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</si>
  <si>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</si>
  <si>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</si>
  <si>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</si>
  <si>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</si>
  <si>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</si>
  <si>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</si>
  <si>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</si>
  <si>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</si>
  <si>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</si>
  <si>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</si>
  <si>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</si>
  <si>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</si>
  <si>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</si>
  <si>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</si>
  <si>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</si>
  <si>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</si>
  <si>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</si>
  <si>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</si>
  <si>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</si>
  <si>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</si>
  <si>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</si>
  <si>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</si>
  <si>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</si>
  <si>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</si>
  <si>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</si>
  <si>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</si>
  <si>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</si>
  <si>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</si>
  <si>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</si>
  <si>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</si>
  <si>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</si>
  <si>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</si>
  <si>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</si>
  <si>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</si>
  <si>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</si>
  <si>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</si>
  <si>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</si>
  <si>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</si>
  <si>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</si>
  <si>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</si>
  <si>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</si>
  <si>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</si>
  <si>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</si>
  <si>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</si>
  <si>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</si>
  <si>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</si>
  <si>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</si>
  <si>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</si>
  <si>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</si>
  <si>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</si>
  <si>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</si>
  <si>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</si>
  <si>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</si>
  <si>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</si>
  <si>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</si>
  <si>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</si>
  <si>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</si>
  <si>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</si>
  <si>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</si>
  <si>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</si>
  <si>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</si>
  <si>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</si>
  <si>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</si>
  <si>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</si>
  <si>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</si>
  <si>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</si>
  <si>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</si>
  <si>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</si>
  <si>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</si>
  <si>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</si>
  <si>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</si>
  <si>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</si>
  <si>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</si>
  <si>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</si>
  <si>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</si>
  <si>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</si>
  <si>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</si>
  <si>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</si>
  <si>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</si>
  <si>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</si>
  <si>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</si>
  <si>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</si>
  <si>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</si>
  <si>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</si>
  <si>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</si>
  <si>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</si>
  <si>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</si>
  <si>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</si>
  <si>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</si>
  <si>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</si>
  <si>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</si>
  <si>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</si>
  <si>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</si>
  <si>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</si>
  <si>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</si>
  <si>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</si>
  <si>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</si>
  <si>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</si>
  <si>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</si>
  <si>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</si>
  <si>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</si>
  <si>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</si>
  <si>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</si>
  <si>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</si>
  <si>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</si>
  <si>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</si>
  <si>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</si>
  <si>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</si>
  <si>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</si>
  <si>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</si>
  <si>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</si>
  <si>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</si>
  <si>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</si>
  <si>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</si>
  <si>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</si>
  <si>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</si>
  <si>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</si>
  <si>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</si>
  <si>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</si>
  <si>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</si>
  <si>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</si>
  <si>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</si>
  <si>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</si>
  <si>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</si>
  <si>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</si>
  <si>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</si>
  <si>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</si>
  <si>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</si>
  <si>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</si>
  <si>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</si>
  <si>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</si>
  <si>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</si>
  <si>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</si>
  <si>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</si>
  <si>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</si>
  <si>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</si>
  <si>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</si>
  <si>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</si>
  <si>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</si>
  <si>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</si>
  <si>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</si>
  <si>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</si>
  <si>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</si>
  <si>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</si>
  <si>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</si>
  <si>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</si>
  <si>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</si>
  <si>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</si>
  <si>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</si>
  <si>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</si>
  <si>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</si>
  <si>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</si>
  <si>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</si>
  <si>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</si>
  <si>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</si>
  <si>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</si>
  <si>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</si>
  <si>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</si>
  <si>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</si>
  <si>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</si>
  <si>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</si>
  <si>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</si>
  <si>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</si>
  <si>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</si>
  <si>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</si>
  <si>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</si>
  <si>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</si>
  <si>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</si>
  <si>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</si>
  <si>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</si>
  <si>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</si>
  <si>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</si>
  <si>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</si>
  <si>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</si>
  <si>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</si>
  <si>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</si>
  <si>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</si>
  <si>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</si>
  <si>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</si>
  <si>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</si>
  <si>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</si>
  <si>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</si>
  <si>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</si>
  <si>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</si>
  <si>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</si>
  <si>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</si>
  <si>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</si>
  <si>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</si>
  <si>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</si>
  <si>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</si>
  <si>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</si>
  <si>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</si>
  <si>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</si>
  <si>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</si>
  <si>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</si>
  <si>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</si>
  <si>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</si>
  <si>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</si>
  <si>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</si>
  <si>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</si>
  <si>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</si>
  <si>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</si>
  <si>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</si>
  <si>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</si>
  <si>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</si>
  <si>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</si>
  <si>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</si>
  <si>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</si>
  <si>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</si>
  <si>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</si>
  <si>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</si>
  <si>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</si>
  <si>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</si>
  <si>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</si>
  <si>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</si>
  <si>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</si>
  <si>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</si>
  <si>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</si>
  <si>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</si>
  <si>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</si>
  <si>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</si>
  <si>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</si>
  <si>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</si>
  <si>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</si>
  <si>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</si>
  <si>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</si>
  <si>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</si>
  <si>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</si>
  <si>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</si>
  <si>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</si>
  <si>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</si>
  <si>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</si>
  <si>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</si>
  <si>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</si>
  <si>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</si>
  <si>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</si>
  <si>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</si>
  <si>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</si>
  <si>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</si>
  <si>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</si>
  <si>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</si>
  <si>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</si>
  <si>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</si>
  <si>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</si>
  <si>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</si>
  <si>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</si>
  <si>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</si>
  <si>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</si>
  <si>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</si>
  <si>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</si>
  <si>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</si>
  <si>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</si>
  <si>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</si>
  <si>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</si>
  <si>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</si>
  <si>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</si>
  <si>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</si>
  <si>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</si>
  <si>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</si>
  <si>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</si>
  <si>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</si>
  <si>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</si>
  <si>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</si>
  <si>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</si>
  <si>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</si>
  <si>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</si>
  <si>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</si>
  <si>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</si>
  <si>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</si>
  <si>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</si>
  <si>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</si>
  <si>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</si>
  <si>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</si>
  <si>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</si>
  <si>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</si>
  <si>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</si>
  <si>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</si>
  <si>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</si>
  <si>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</si>
  <si>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</si>
  <si>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</si>
  <si>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</si>
  <si>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</si>
  <si>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</si>
  <si>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</si>
  <si>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</si>
  <si>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</si>
  <si>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</si>
  <si>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</si>
  <si>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</si>
  <si>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</si>
  <si>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</si>
  <si>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</si>
  <si>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</si>
  <si>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</si>
  <si>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</si>
  <si>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</si>
  <si>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</si>
  <si>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</si>
  <si>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</si>
  <si>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</si>
  <si>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</si>
  <si>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</si>
  <si>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</si>
  <si>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</si>
  <si>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</si>
  <si>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</si>
  <si>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</si>
  <si>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</si>
  <si>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</si>
  <si>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</si>
  <si>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</si>
  <si>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</si>
  <si>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</si>
  <si>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</si>
  <si>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</si>
  <si>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</si>
  <si>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</si>
  <si>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</si>
  <si>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</si>
  <si>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</si>
  <si>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</si>
  <si>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</si>
  <si>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</si>
  <si>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</si>
  <si>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</si>
  <si>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</si>
  <si>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</si>
  <si>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</si>
  <si>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</si>
  <si>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</si>
  <si>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</si>
  <si>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</si>
  <si>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</si>
  <si>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</si>
  <si>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</si>
  <si>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</si>
  <si>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</si>
  <si>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</si>
  <si>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</si>
  <si>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</si>
  <si>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</si>
  <si>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</si>
  <si>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</si>
  <si>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</si>
  <si>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</si>
  <si>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</si>
  <si>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</si>
  <si>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</si>
  <si>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</si>
  <si>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</si>
  <si>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</si>
  <si>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</si>
  <si>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</si>
  <si>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</si>
  <si>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</si>
  <si>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</si>
  <si>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</si>
  <si>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</si>
  <si>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</si>
  <si>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</si>
  <si>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</si>
  <si>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</si>
  <si>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</si>
  <si>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</si>
  <si>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</si>
  <si>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</si>
  <si>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</si>
  <si>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</si>
  <si>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</si>
  <si>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</si>
  <si>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</si>
  <si>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</si>
  <si>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</si>
  <si>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</si>
  <si>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</si>
  <si>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</si>
  <si>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</si>
  <si>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</si>
  <si>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</si>
  <si>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</si>
  <si>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</si>
  <si>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</si>
  <si>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</si>
  <si>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</si>
  <si>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</si>
  <si>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</si>
  <si>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</si>
  <si>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</si>
  <si>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</si>
  <si>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</si>
  <si>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</si>
  <si>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</si>
  <si>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</si>
  <si>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</si>
  <si>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</si>
  <si>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</si>
  <si>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</si>
  <si>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</si>
  <si>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</si>
  <si>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</si>
  <si>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</si>
  <si>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</si>
  <si>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</si>
  <si>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</si>
  <si>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</si>
  <si>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</si>
  <si>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</si>
  <si>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</si>
  <si>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</si>
  <si>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</si>
  <si>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</si>
  <si>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</si>
  <si>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</si>
  <si>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</si>
  <si>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</si>
  <si>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</si>
  <si>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</si>
  <si>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</si>
  <si>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</si>
  <si>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</si>
  <si>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</si>
  <si>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</si>
  <si>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</si>
  <si>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</si>
  <si>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</si>
  <si>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</si>
  <si>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</si>
  <si>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</si>
  <si>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</si>
  <si>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</si>
  <si>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</si>
  <si>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</si>
  <si>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</si>
  <si>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</si>
  <si>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</si>
  <si>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</si>
  <si>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</si>
  <si>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</si>
  <si>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</si>
  <si>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</si>
  <si>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</si>
  <si>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</si>
  <si>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</si>
  <si>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</si>
  <si>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</si>
  <si>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</si>
  <si>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</si>
  <si>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</si>
  <si>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</si>
  <si>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</si>
  <si>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</si>
  <si>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</si>
  <si>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</si>
  <si>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</si>
  <si>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</si>
  <si>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</si>
  <si>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</si>
  <si>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</si>
  <si>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</si>
  <si>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</si>
  <si>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</si>
  <si>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</si>
  <si>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</si>
  <si>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</si>
  <si>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</si>
  <si>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</si>
  <si>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</si>
  <si>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</si>
  <si>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</si>
  <si>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</si>
  <si>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</si>
  <si>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</si>
  <si>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</si>
  <si>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</si>
  <si>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</si>
  <si>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</si>
  <si>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</si>
  <si>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</si>
  <si>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</si>
  <si>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</si>
  <si>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</si>
  <si>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</si>
  <si>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</si>
  <si>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</si>
  <si>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</si>
  <si>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</si>
  <si>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</si>
  <si>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</si>
  <si>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</si>
  <si>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</si>
  <si>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</si>
  <si>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</si>
  <si>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</si>
  <si>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</si>
  <si>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</si>
  <si>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</si>
  <si>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</si>
  <si>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</si>
  <si>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</si>
  <si>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</si>
  <si>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</si>
  <si>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</si>
  <si>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</si>
  <si>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</si>
  <si>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</si>
  <si>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</si>
  <si>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</si>
  <si>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</si>
  <si>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</si>
  <si>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</si>
  <si>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</si>
  <si>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</si>
  <si>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</si>
  <si>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</si>
  <si>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</si>
  <si>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</si>
  <si>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</si>
  <si>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</si>
  <si>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</si>
  <si>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</si>
  <si>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</si>
  <si>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</si>
  <si>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</si>
  <si>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</si>
  <si>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</si>
  <si>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</si>
  <si>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</si>
  <si>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</si>
  <si>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</si>
  <si>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</si>
  <si>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</si>
  <si>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</si>
  <si>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</si>
  <si>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</si>
  <si>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</si>
  <si>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</si>
  <si>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</si>
  <si>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</si>
  <si>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</si>
  <si>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</si>
  <si>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</si>
  <si>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</si>
  <si>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</si>
  <si>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</si>
  <si>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</si>
  <si>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</si>
  <si>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</si>
  <si>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</si>
  <si>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</si>
  <si>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</si>
  <si>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</si>
  <si>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</si>
  <si>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</si>
  <si>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</si>
  <si>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</si>
  <si>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</si>
  <si>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</si>
  <si>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</si>
  <si>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</si>
  <si>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</si>
  <si>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</si>
  <si>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</si>
  <si>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</si>
  <si>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</si>
  <si>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</si>
  <si>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</si>
  <si>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</si>
  <si>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</si>
  <si>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</si>
  <si>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</si>
  <si>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</si>
  <si>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</si>
  <si>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</si>
  <si>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</si>
  <si>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</si>
  <si>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</si>
  <si>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</si>
  <si>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</si>
  <si>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</si>
  <si>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</si>
  <si>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</si>
  <si>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</si>
  <si>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</si>
  <si>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</si>
  <si>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</si>
  <si>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</si>
  <si>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</si>
  <si>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</si>
  <si>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</si>
  <si>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</si>
  <si>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</si>
  <si>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</si>
  <si>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</si>
  <si>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</si>
  <si>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</si>
  <si>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</si>
  <si>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</si>
  <si>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</si>
  <si>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</si>
  <si>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</si>
  <si>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</si>
  <si>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</si>
  <si>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</si>
  <si>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</si>
  <si>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</si>
  <si>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</si>
  <si>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</si>
  <si>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</si>
  <si>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</si>
  <si>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</si>
  <si>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</si>
  <si>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</si>
  <si>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</si>
  <si>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</si>
  <si>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</si>
  <si>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</si>
  <si>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</si>
  <si>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</si>
  <si>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</si>
  <si>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</si>
  <si>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</si>
  <si>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</si>
  <si>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</si>
  <si>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</si>
  <si>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</si>
  <si>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</si>
  <si>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</si>
  <si>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</si>
  <si>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</si>
  <si>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</si>
  <si>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</si>
  <si>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</si>
  <si>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</si>
  <si>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</si>
  <si>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</si>
  <si>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</si>
  <si>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</si>
  <si>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</si>
  <si>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</si>
  <si>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</si>
  <si>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</si>
  <si>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</si>
  <si>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</si>
  <si>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</si>
  <si>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</si>
  <si>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</si>
  <si>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</si>
  <si>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</si>
  <si>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</si>
  <si>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</si>
  <si>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</si>
  <si>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</si>
  <si>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</si>
  <si>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</si>
  <si>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</si>
  <si>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</si>
  <si>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</si>
  <si>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</si>
  <si>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</si>
  <si>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</si>
  <si>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</si>
  <si>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</si>
  <si>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</si>
  <si>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</si>
  <si>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</si>
  <si>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</si>
  <si>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</si>
  <si>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</si>
  <si>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</si>
  <si>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</si>
  <si>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</si>
  <si>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</si>
  <si>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</si>
  <si>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</si>
  <si>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</si>
  <si>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</si>
  <si>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</si>
  <si>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</si>
  <si>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</si>
  <si>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</si>
  <si>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</si>
  <si>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</si>
  <si>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</si>
  <si>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</si>
  <si>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</si>
  <si>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</si>
  <si>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</si>
  <si>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</si>
  <si>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</si>
  <si>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</si>
  <si>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</si>
  <si>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</si>
  <si>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</si>
  <si>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</si>
  <si>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</si>
  <si>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</si>
  <si>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</si>
  <si>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</si>
  <si>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</si>
  <si>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</si>
  <si>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</si>
  <si>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</si>
  <si>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</si>
  <si>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</si>
  <si>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</si>
  <si>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</si>
  <si>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</si>
  <si>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</si>
  <si>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</si>
  <si>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</si>
  <si>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</si>
  <si>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</si>
  <si>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</si>
  <si>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</si>
  <si>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</si>
  <si>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</si>
  <si>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</si>
  <si>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</si>
  <si>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</si>
  <si>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</si>
  <si>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</si>
  <si>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</si>
  <si>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</si>
  <si>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</si>
  <si>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</si>
  <si>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</si>
  <si>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</si>
  <si>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</si>
  <si>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</si>
  <si>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</si>
  <si>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</si>
  <si>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</si>
  <si>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</si>
  <si>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</si>
  <si>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</si>
  <si>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</si>
  <si>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</si>
  <si>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</si>
  <si>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</si>
  <si>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</si>
  <si>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</si>
  <si>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</si>
  <si>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</si>
  <si>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</si>
  <si>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</si>
  <si>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</si>
  <si>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</si>
  <si>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</si>
  <si>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</si>
  <si>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</si>
  <si>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</si>
  <si>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</si>
  <si>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</si>
  <si>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</si>
  <si>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</si>
  <si>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ZARAGOZA</t>
  </si>
  <si>
    <t>Resumenes por Partidos Judiciales</t>
  </si>
  <si>
    <t>TARAZONA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</si>
</sst>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EnA1jQ+cXt0U+vNX0CDBkfor2MfGm6LnGwuC1I9vEUuDqjVin45MbsCRpgdpRvHGMJzBH55XnZeZeAaYyivjg==" saltValue="RsLLEqf2xHN8V8PeUZpO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7</v>
      </c>
      <c r="F10" s="226">
        <f>IF(ISNUMBER(Datos!K10),Datos!K10," - ")</f>
        <v>7</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14.142857142857144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76.358333333333334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681</v>
      </c>
      <c r="D16" s="225">
        <f>IF(ISNUMBER(IF(D_I="SI",Datos!I16,Datos!I16+Datos!AC16)),IF(D_I="SI",Datos!I16,Datos!I16+Datos!AC16)," - ")</f>
        <v>676</v>
      </c>
      <c r="E16" s="226">
        <f>IF(ISNUMBER(IF(D_I="SI",Datos!J16,Datos!J16+Datos!AD16)),IF(D_I="SI",Datos!J16,Datos!J16+Datos!AD16)," - ")</f>
        <v>290</v>
      </c>
      <c r="F16" s="226">
        <f>IF(ISNUMBER(IF(D_I="SI",Datos!K16,Datos!K16+Datos!AE16)),IF(D_I="SI",Datos!K16,Datos!K16+Datos!AE16)," - ")</f>
        <v>307</v>
      </c>
      <c r="G16" s="1034" t="str">
        <f>IF(Datos!E16&lt;&gt;"",Datos!E16,Datos!D16)</f>
        <v>04</v>
      </c>
      <c r="H16" s="227">
        <f>IF(ISNUMBER(IF(D_I="SI",Datos!L16,Datos!L16+Datos!AF16)),IF(D_I="SI",Datos!L16,Datos!L16+Datos!AF16)," - ")</f>
        <v>664</v>
      </c>
      <c r="I16" s="1044" t="str">
        <f>IF(ISNUMBER(Datos!AS16/Datos!BM16),Datos!AS16/Datos!BM16," - ")</f>
        <v xml:space="preserve"> - </v>
      </c>
      <c r="J16" s="1045">
        <f>IF(ISNUMBER(Datos!BY16/Datos!CN16),Datos!BY16/Datos!CN16," - ")</f>
        <v>0</v>
      </c>
      <c r="K16" s="230">
        <f t="shared" si="3"/>
        <v>-2.4963289280469897E-2</v>
      </c>
      <c r="L16" s="1025">
        <f>IF(ISNUMBER(NºAsuntos!I16/NºAsuntos!G16),(NºAsuntos!I16/NºAsuntos!G16)*11," - ")</f>
        <v>23.791530944625407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16</v>
      </c>
      <c r="F17" s="226">
        <f>IF(ISNUMBER(IF(D_I="SI",Datos!K17,Datos!K17+Datos!AE17)),IF(D_I="SI",Datos!K17,Datos!K17+Datos!AE17)," - ")</f>
        <v>16</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26.8125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720</v>
      </c>
      <c r="D18" s="1049">
        <f>SUBTOTAL(9,D15:D17)</f>
        <v>715</v>
      </c>
      <c r="E18" s="1050">
        <f>SUBTOTAL(9,E15:E17)</f>
        <v>306</v>
      </c>
      <c r="F18" s="1050">
        <f>SUBTOTAL(9,F15:F17)</f>
        <v>323</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729</v>
      </c>
      <c r="D19" s="1071">
        <f>SUBTOTAL(9,D9:D18)</f>
        <v>724</v>
      </c>
      <c r="E19" s="1072">
        <f>SUBTOTAL(9,E9:E18)</f>
        <v>313</v>
      </c>
      <c r="F19" s="1072">
        <f>SUBTOTAL(9,F9:F18)</f>
        <v>330</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KNweQhsM0S7+umTE4RB2o8q++16W0qQx+tnCvWRdbgMpAqTmyfGt+aC2Y8CUoLTVA+LLeEf/5iNRb3nUuHoEg==" saltValue="Gb5yy+AbVYWA2/EuWYdh3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ePZnEaveQ32eb5xhfZ73MGA8VwPMTAmR8aEzxQ3JAalhaMvi0XLw1Sgr2+nyYq6+zOwyxKpR3/Ui29NFIvqng==" saltValue="XvNIkQ6gxadgRrDCqs/4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7</v>
      </c>
      <c r="K10" s="181">
        <v>7</v>
      </c>
      <c r="L10" s="181">
        <v>9</v>
      </c>
      <c r="M10" s="181">
        <v>0</v>
      </c>
      <c r="N10" s="181">
        <v>2</v>
      </c>
      <c r="O10" s="181">
        <v>2</v>
      </c>
      <c r="P10" s="181">
        <v>1</v>
      </c>
      <c r="Q10" s="181">
        <v>1</v>
      </c>
      <c r="R10" s="181">
        <v>2</v>
      </c>
      <c r="S10" s="181">
        <v>9</v>
      </c>
      <c r="T10" s="181">
        <v>1</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682</v>
      </c>
      <c r="J12" s="183">
        <v>259</v>
      </c>
      <c r="K12" s="183">
        <v>112</v>
      </c>
      <c r="L12" s="183">
        <v>829</v>
      </c>
      <c r="M12" s="183">
        <v>52</v>
      </c>
      <c r="N12" s="183">
        <v>33</v>
      </c>
      <c r="O12" s="181">
        <v>39</v>
      </c>
      <c r="P12" s="183">
        <v>36</v>
      </c>
      <c r="Q12" s="183">
        <v>69</v>
      </c>
      <c r="R12" s="183">
        <v>543</v>
      </c>
      <c r="S12" s="183">
        <v>606</v>
      </c>
      <c r="T12" s="183">
        <v>217</v>
      </c>
      <c r="U12" s="183">
        <v>124</v>
      </c>
      <c r="V12" s="183">
        <v>699</v>
      </c>
      <c r="W12" s="183">
        <v>27</v>
      </c>
      <c r="X12" s="189">
        <v>59</v>
      </c>
      <c r="Y12" s="191">
        <v>5</v>
      </c>
      <c r="Z12" s="181">
        <v>7</v>
      </c>
      <c r="AA12" s="181">
        <v>8</v>
      </c>
      <c r="AB12" s="181">
        <v>4</v>
      </c>
      <c r="AC12" s="183">
        <v>0</v>
      </c>
      <c r="AD12" s="183">
        <v>0</v>
      </c>
      <c r="AE12" s="183">
        <v>0</v>
      </c>
      <c r="AF12" s="189">
        <v>0</v>
      </c>
      <c r="AG12" s="202">
        <v>14</v>
      </c>
      <c r="AH12" s="183">
        <v>9</v>
      </c>
      <c r="AI12" s="183">
        <v>16</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620</v>
      </c>
      <c r="AZ12" s="127">
        <f t="shared" si="1"/>
        <v>226</v>
      </c>
      <c r="BA12" s="127">
        <f t="shared" si="1"/>
        <v>140</v>
      </c>
      <c r="BB12" s="127">
        <f t="shared" si="1"/>
        <v>706</v>
      </c>
      <c r="BC12" s="125">
        <f>IF(ISNUMBER(X12),X12," - ")</f>
        <v>59</v>
      </c>
      <c r="BD12" s="126">
        <f t="shared" si="2"/>
        <v>0.61946902654867253</v>
      </c>
      <c r="BE12" s="127">
        <f t="shared" si="3"/>
        <v>5.0428571428571427</v>
      </c>
      <c r="BF12" s="127">
        <f t="shared" si="4"/>
        <v>0.42142857142857143</v>
      </c>
      <c r="BG12" s="196">
        <f t="shared" si="5"/>
        <v>6.0428571428571427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691</v>
      </c>
      <c r="J13" s="184">
        <f t="shared" si="6"/>
        <v>266</v>
      </c>
      <c r="K13" s="184">
        <f t="shared" si="6"/>
        <v>119</v>
      </c>
      <c r="L13" s="184">
        <f t="shared" si="6"/>
        <v>838</v>
      </c>
      <c r="M13" s="184">
        <f t="shared" si="6"/>
        <v>52</v>
      </c>
      <c r="N13" s="184">
        <f t="shared" si="6"/>
        <v>35</v>
      </c>
      <c r="O13" s="184">
        <f t="shared" si="6"/>
        <v>41</v>
      </c>
      <c r="P13" s="184">
        <f t="shared" si="6"/>
        <v>37</v>
      </c>
      <c r="Q13" s="184">
        <f t="shared" si="6"/>
        <v>70</v>
      </c>
      <c r="R13" s="184">
        <f t="shared" si="6"/>
        <v>545</v>
      </c>
      <c r="S13" s="184">
        <f t="shared" si="6"/>
        <v>615</v>
      </c>
      <c r="T13" s="184">
        <f t="shared" si="6"/>
        <v>218</v>
      </c>
      <c r="U13" s="184">
        <f t="shared" si="6"/>
        <v>124</v>
      </c>
      <c r="V13" s="184">
        <f t="shared" si="6"/>
        <v>709</v>
      </c>
      <c r="W13" s="184">
        <f t="shared" si="6"/>
        <v>27</v>
      </c>
      <c r="X13" s="184">
        <f t="shared" si="6"/>
        <v>59</v>
      </c>
      <c r="Y13" s="184">
        <f t="shared" si="6"/>
        <v>5</v>
      </c>
      <c r="Z13" s="184">
        <f t="shared" si="6"/>
        <v>7</v>
      </c>
      <c r="AA13" s="184">
        <f t="shared" si="6"/>
        <v>8</v>
      </c>
      <c r="AB13" s="184">
        <f t="shared" si="6"/>
        <v>4</v>
      </c>
      <c r="AC13" s="184">
        <f t="shared" si="6"/>
        <v>0</v>
      </c>
      <c r="AD13" s="184">
        <f t="shared" si="6"/>
        <v>0</v>
      </c>
      <c r="AE13" s="184">
        <f t="shared" si="6"/>
        <v>0</v>
      </c>
      <c r="AF13" s="184">
        <f>SUBTOTAL(9,AF9:AF12)</f>
        <v>0</v>
      </c>
      <c r="AG13" s="184">
        <f t="shared" ref="AG13:AT13" si="7">SUBTOTAL(9,AG8:AG12)</f>
        <v>14</v>
      </c>
      <c r="AH13" s="184">
        <f t="shared" si="7"/>
        <v>9</v>
      </c>
      <c r="AI13" s="184">
        <f t="shared" si="7"/>
        <v>16</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629</v>
      </c>
      <c r="AZ13" s="184">
        <f>SUBTOTAL(9,AZ8:AZ12)</f>
        <v>227</v>
      </c>
      <c r="BA13" s="184">
        <f>SUBTOTAL(9,BA8:BA12)</f>
        <v>140</v>
      </c>
      <c r="BB13" s="184">
        <f>SUBTOTAL(9,BB8:BB12)</f>
        <v>716</v>
      </c>
      <c r="BC13" s="184">
        <f>SUBTOTAL(9,BC8:BC12)</f>
        <v>59</v>
      </c>
      <c r="BD13" s="205">
        <f>IF(ISNUMBER(BA13/AZ13),BA13/AZ13," - ")</f>
        <v>0.61674008810572689</v>
      </c>
      <c r="BE13" s="206">
        <f>IF(ISNUMBER(BB13/BA13),BB13/BA13, " - ")</f>
        <v>5.1142857142857139</v>
      </c>
      <c r="BF13" s="206">
        <f>IF(ISNUMBER(BC13/BA13),BC13/BA13, " - ")</f>
        <v>0.42142857142857143</v>
      </c>
      <c r="BG13" s="207">
        <f>IF(ISNUMBER((AY13+AZ13)/BA13),(AY13+AZ13)/BA13," - ")</f>
        <v>6.1142857142857139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676</v>
      </c>
      <c r="J16" s="183">
        <v>290</v>
      </c>
      <c r="K16" s="183">
        <v>307</v>
      </c>
      <c r="L16" s="183">
        <v>664</v>
      </c>
      <c r="M16" s="183">
        <v>35</v>
      </c>
      <c r="N16" s="183">
        <v>201</v>
      </c>
      <c r="O16" s="181">
        <v>0</v>
      </c>
      <c r="P16" s="183">
        <v>7</v>
      </c>
      <c r="Q16" s="183">
        <v>4</v>
      </c>
      <c r="R16" s="183">
        <v>36</v>
      </c>
      <c r="S16" s="183">
        <v>548</v>
      </c>
      <c r="T16" s="183">
        <v>223</v>
      </c>
      <c r="U16" s="183">
        <v>181</v>
      </c>
      <c r="V16" s="183">
        <v>593</v>
      </c>
      <c r="W16" s="183">
        <v>16</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548</v>
      </c>
      <c r="AZ16" s="127">
        <f t="shared" si="9"/>
        <v>223</v>
      </c>
      <c r="BA16" s="127">
        <f t="shared" si="9"/>
        <v>181</v>
      </c>
      <c r="BB16" s="127">
        <f t="shared" si="9"/>
        <v>593</v>
      </c>
      <c r="BC16" s="125">
        <f>IF(ISNUMBER(W16),W16," - ")</f>
        <v>16</v>
      </c>
      <c r="BD16" s="126">
        <f t="shared" ref="BD16" si="11">IF(ISNUMBER(BA16/AZ16),BA16/AZ16," - ")</f>
        <v>0.81165919282511212</v>
      </c>
      <c r="BE16" s="127">
        <f t="shared" ref="BE16" si="12">IF(ISNUMBER(BB16/BA16),BB16/BA16, " - ")</f>
        <v>3.2762430939226519</v>
      </c>
      <c r="BF16" s="127">
        <f t="shared" ref="BF16" si="13">IF(ISNUMBER(BC16/BA16),BC16/BA16, " - ")</f>
        <v>8.8397790055248615E-2</v>
      </c>
      <c r="BG16" s="196">
        <f t="shared" si="10"/>
        <v>4.2596685082872927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16</v>
      </c>
      <c r="K17" s="183">
        <v>16</v>
      </c>
      <c r="L17" s="183">
        <v>39</v>
      </c>
      <c r="M17" s="183">
        <v>2</v>
      </c>
      <c r="N17" s="183">
        <v>11</v>
      </c>
      <c r="O17" s="183">
        <v>0</v>
      </c>
      <c r="P17" s="183">
        <v>0</v>
      </c>
      <c r="Q17" s="183">
        <v>0</v>
      </c>
      <c r="R17" s="183">
        <v>0</v>
      </c>
      <c r="S17" s="183">
        <v>68</v>
      </c>
      <c r="T17" s="183">
        <v>24</v>
      </c>
      <c r="U17" s="183">
        <v>11</v>
      </c>
      <c r="V17" s="183">
        <v>81</v>
      </c>
      <c r="W17" s="183">
        <v>1</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68</v>
      </c>
      <c r="AZ17" s="129">
        <f t="shared" si="14"/>
        <v>24</v>
      </c>
      <c r="BA17" s="129">
        <f t="shared" si="14"/>
        <v>11</v>
      </c>
      <c r="BB17" s="129">
        <f t="shared" si="14"/>
        <v>81</v>
      </c>
      <c r="BC17" s="125">
        <f>IF(ISNUMBER(W17),W17," - ")</f>
        <v>1</v>
      </c>
      <c r="BD17" s="126">
        <f>IF(ISNUMBER(BA17/AZ17),BA17/AZ17," - ")</f>
        <v>0.45833333333333331</v>
      </c>
      <c r="BE17" s="127">
        <f>IF(ISNUMBER(BB17/BA17),BB17/BA17, " - ")</f>
        <v>7.3636363636363633</v>
      </c>
      <c r="BF17" s="127">
        <f>IF(ISNUMBER(BC17/BA17),BC17/BA17, " - ")</f>
        <v>9.0909090909090912E-2</v>
      </c>
      <c r="BG17" s="196">
        <f>IF(ISNUMBER((AY17+AZ17)/BA17),(AY17+AZ17)/BA17," - ")</f>
        <v>8.3636363636363633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715</v>
      </c>
      <c r="J18" s="184">
        <f t="shared" si="15"/>
        <v>306</v>
      </c>
      <c r="K18" s="184">
        <f t="shared" si="15"/>
        <v>323</v>
      </c>
      <c r="L18" s="184">
        <f t="shared" si="15"/>
        <v>703</v>
      </c>
      <c r="M18" s="184">
        <f t="shared" si="15"/>
        <v>37</v>
      </c>
      <c r="N18" s="184">
        <f t="shared" si="15"/>
        <v>212</v>
      </c>
      <c r="O18" s="184">
        <f t="shared" si="15"/>
        <v>0</v>
      </c>
      <c r="P18" s="184">
        <f t="shared" si="15"/>
        <v>7</v>
      </c>
      <c r="Q18" s="184">
        <f t="shared" si="15"/>
        <v>4</v>
      </c>
      <c r="R18" s="184">
        <f t="shared" si="15"/>
        <v>36</v>
      </c>
      <c r="S18" s="184">
        <f t="shared" si="15"/>
        <v>616</v>
      </c>
      <c r="T18" s="184">
        <f t="shared" si="15"/>
        <v>247</v>
      </c>
      <c r="U18" s="184">
        <f t="shared" si="15"/>
        <v>192</v>
      </c>
      <c r="V18" s="184">
        <f t="shared" si="15"/>
        <v>674</v>
      </c>
      <c r="W18" s="184">
        <f t="shared" si="15"/>
        <v>17</v>
      </c>
      <c r="X18" s="184">
        <f t="shared" si="15"/>
        <v>155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616</v>
      </c>
      <c r="AZ18" s="184">
        <f>SUBTOTAL(9,AZ14:AZ17)</f>
        <v>247</v>
      </c>
      <c r="BA18" s="184">
        <f>SUBTOTAL(9,BA14:BA17)</f>
        <v>192</v>
      </c>
      <c r="BB18" s="184">
        <f>SUBTOTAL(9,BB14:BB17)</f>
        <v>674</v>
      </c>
      <c r="BC18" s="184">
        <f>SUBTOTAL(9,BC14:BC17)</f>
        <v>17</v>
      </c>
      <c r="BD18" s="205">
        <f>IF(ISNUMBER(BA18/AZ18),BA18/AZ18," - ")</f>
        <v>0.77732793522267207</v>
      </c>
      <c r="BE18" s="206">
        <f>IF(ISNUMBER(BB18/BA18),BB18/BA18, " - ")</f>
        <v>3.5104166666666665</v>
      </c>
      <c r="BF18" s="206">
        <f>IF(ISNUMBER(BC18/BA18),BC18/BA18, " - ")</f>
        <v>8.8541666666666671E-2</v>
      </c>
      <c r="BG18" s="207">
        <f>IF(ISNUMBER((AY18+AZ18)/BA18),(AY18+AZ18)/BA18," - ")</f>
        <v>4.494791666666667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1406</v>
      </c>
      <c r="J19" s="134">
        <f t="shared" si="18"/>
        <v>572</v>
      </c>
      <c r="K19" s="134">
        <f t="shared" si="18"/>
        <v>442</v>
      </c>
      <c r="L19" s="134">
        <f t="shared" si="18"/>
        <v>1541</v>
      </c>
      <c r="M19" s="134">
        <f t="shared" si="18"/>
        <v>89</v>
      </c>
      <c r="N19" s="134">
        <f t="shared" si="18"/>
        <v>247</v>
      </c>
      <c r="O19" s="134">
        <f t="shared" si="18"/>
        <v>41</v>
      </c>
      <c r="P19" s="134">
        <f t="shared" si="18"/>
        <v>44</v>
      </c>
      <c r="Q19" s="134">
        <f t="shared" si="18"/>
        <v>74</v>
      </c>
      <c r="R19" s="134">
        <f t="shared" si="18"/>
        <v>581</v>
      </c>
      <c r="S19" s="134">
        <f t="shared" si="18"/>
        <v>1231</v>
      </c>
      <c r="T19" s="134">
        <f t="shared" si="18"/>
        <v>465</v>
      </c>
      <c r="U19" s="134">
        <f t="shared" si="18"/>
        <v>316</v>
      </c>
      <c r="V19" s="134">
        <f t="shared" si="18"/>
        <v>1383</v>
      </c>
      <c r="W19" s="134">
        <f t="shared" si="18"/>
        <v>44</v>
      </c>
      <c r="X19" s="134">
        <f t="shared" si="18"/>
        <v>214</v>
      </c>
      <c r="Y19" s="134">
        <f t="shared" si="18"/>
        <v>5</v>
      </c>
      <c r="Z19" s="134">
        <f t="shared" si="18"/>
        <v>7</v>
      </c>
      <c r="AA19" s="134">
        <f t="shared" si="18"/>
        <v>8</v>
      </c>
      <c r="AB19" s="134">
        <f t="shared" si="18"/>
        <v>4</v>
      </c>
      <c r="AC19" s="134">
        <f t="shared" si="18"/>
        <v>0</v>
      </c>
      <c r="AD19" s="134">
        <f t="shared" si="18"/>
        <v>0</v>
      </c>
      <c r="AE19" s="134">
        <f t="shared" si="18"/>
        <v>0</v>
      </c>
      <c r="AF19" s="134">
        <f t="shared" si="18"/>
        <v>0</v>
      </c>
      <c r="AG19" s="134">
        <f t="shared" si="18"/>
        <v>14</v>
      </c>
      <c r="AH19" s="134">
        <f t="shared" si="18"/>
        <v>9</v>
      </c>
      <c r="AI19" s="134">
        <f t="shared" si="18"/>
        <v>16</v>
      </c>
      <c r="AJ19" s="134">
        <f t="shared" si="18"/>
        <v>7</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1245</v>
      </c>
      <c r="AZ19" s="134">
        <f>SUBTOTAL(9,AZ9:AZ18)</f>
        <v>474</v>
      </c>
      <c r="BA19" s="134">
        <f>SUBTOTAL(9,BA9:BA18)</f>
        <v>332</v>
      </c>
      <c r="BB19" s="134">
        <f>SUBTOTAL(9,BB9:BB18)</f>
        <v>1390</v>
      </c>
      <c r="BC19" s="135">
        <f>SUBTOTAL(9,BC9:BC18)</f>
        <v>76</v>
      </c>
      <c r="BD19" s="213">
        <f>IF(ISNUMBER(BA19/AZ19),BA19/AZ19," - ")</f>
        <v>0.70042194092827004</v>
      </c>
      <c r="BE19" s="210">
        <f>IF(ISNUMBER(BB19/BA19),BB19/BA19, " - ")</f>
        <v>4.1867469879518069</v>
      </c>
      <c r="BF19" s="210">
        <f>IF(ISNUMBER(BC19/BA19),BC19/BA19, " - ")</f>
        <v>0.2289156626506024</v>
      </c>
      <c r="BG19" s="135">
        <f>IF(ISNUMBER((AY19+AZ19)/BA19),(AY19+AZ19)/BA19," - ")</f>
        <v>5.177710843373494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VMpj09rnN7mBtLy9/Tk1064Pz5A8rui9SzmCPApc9Zqr9tjJ29vlv/UG27mztDaGHxQZElWId7+e9omLhxF1w==" saltValue="kwxDZKfiFsYnUQ0UltT6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JyH2E4uZeU8E01WFAHpBYJ+va6l/L9wTQUVe/P5oBkuz2XggS1L8lpk0PI/lvekOhIv643J0dEQSQH76w2iQ==" saltValue="8sePdEbIKguZFVYElkmw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3.8571428571428577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v>
      </c>
      <c r="BD12" s="229">
        <f>IF(ISNUMBER(Datos!N12),Datos!N12," - ")</f>
        <v>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0.45112781954887216</v>
      </c>
      <c r="BH12" s="260">
        <f>IF(ISNUMBER(((IF(J_V="SI",Datos!L12/Datos!K12,(Datos!L12+Datos!AB12)/(Datos!K12+Datos!AA12)))*11)/factor_trimestre),((IF(J_V="SI",Datos!L12/Datos!K12,(Datos!L12+Datos!AB12)/(Datos!K12+Datos!AA12)))*11)/factor_trimestre," - ")</f>
        <v>20.825000000000003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-5.7291666666666664E-2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70</v>
      </c>
      <c r="AD13" s="899">
        <f t="shared" si="1"/>
        <v>0</v>
      </c>
      <c r="AE13" s="899">
        <f t="shared" si="1"/>
        <v>0</v>
      </c>
      <c r="AF13" s="899">
        <f t="shared" si="1"/>
        <v>9</v>
      </c>
      <c r="AG13" s="899">
        <f t="shared" si="1"/>
        <v>0</v>
      </c>
      <c r="AH13" s="899">
        <f t="shared" si="1"/>
        <v>4</v>
      </c>
      <c r="AI13" s="899">
        <f t="shared" si="1"/>
        <v>0</v>
      </c>
      <c r="AJ13" s="899">
        <f t="shared" si="1"/>
        <v>0</v>
      </c>
      <c r="AK13" s="899">
        <f t="shared" si="1"/>
        <v>0</v>
      </c>
      <c r="AL13" s="899">
        <f t="shared" si="1"/>
        <v>0</v>
      </c>
      <c r="AM13" s="899">
        <f t="shared" si="1"/>
        <v>545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v>
      </c>
      <c r="BD13" s="899">
        <f t="shared" si="1"/>
        <v>35</v>
      </c>
      <c r="BE13" s="899">
        <f t="shared" si="1"/>
        <v>0</v>
      </c>
      <c r="BF13" s="899">
        <f t="shared" si="1"/>
        <v>0</v>
      </c>
      <c r="BG13" s="899">
        <f>IF(ISNUMBER(Datos!K13/Datos!J13),Datos!K13/Datos!J13," - ")</f>
        <v>0.44736842105263158</v>
      </c>
      <c r="BH13" s="903">
        <f>IF(ISNUMBER(((Datos!L13/Datos!K13)*11)/factor_trimestre),((Datos!L13/Datos!K13)*11)/factor_trimestre," - ")</f>
        <v>21.12605042016807</v>
      </c>
      <c r="BI13" s="899">
        <f>IF(ISNUMBER('Resol  Asuntos'!D13/NºAsuntos!G13),'Resol  Asuntos'!D13/NºAsuntos!G13," - ")</f>
        <v>0.40944881889763779</v>
      </c>
      <c r="BJ13" s="899" t="str">
        <f>IF(ISNUMBER(Datos!CI13/Datos!CJ13),Datos!CI13/Datos!CJ13," - ")</f>
        <v xml:space="preserve"> - </v>
      </c>
      <c r="BK13" s="899">
        <f>SUBTOTAL(9,BK8:BK12)</f>
        <v>0</v>
      </c>
      <c r="BL13" s="899">
        <f>IF(ISNUMBER((I13-AB13+L13)/(F13)),(I13-AB13+L13)/(F13)," - ")</f>
        <v>-0.77777777777777779</v>
      </c>
      <c r="BM13" s="904">
        <f>SUBTOTAL(9,BM9:BM12)</f>
        <v>-5.7291666666666664E-2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681</v>
      </c>
      <c r="G16" s="598">
        <f>IF(ISNUMBER(IF(D_I="SI",Datos!I16,Datos!I16+Datos!AC16)),IF(D_I="SI",Datos!I16,Datos!I16+Datos!AC16)," - ")</f>
        <v>676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307</v>
      </c>
      <c r="AC16" s="226">
        <f>IF(ISNUMBER(Datos!Q16),Datos!Q16," - ")</f>
        <v>4</v>
      </c>
      <c r="AD16" s="334"/>
      <c r="AE16" s="484"/>
      <c r="AF16" s="596">
        <f>IF(ISNUMBER(IF(D_I="SI",Datos!L16,Datos!L16+Datos!AF16)),IF(D_I="SI",Datos!L16,Datos!L16+Datos!AF16)," - ")</f>
        <v>664</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201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1.0586206896551724</v>
      </c>
      <c r="BH16" s="260">
        <f>IF(ISNUMBER(((IF(D_I="SI",Datos!L16/Datos!K16,(Datos!L16+Datos!AF16)/(Datos!K16+Datos!AE16)))*11)/factor_trimestre),((IF(D_I="SI",Datos!L16/Datos!K16,(Datos!L16+Datos!AF16)/(Datos!K16+Datos!AE16)))*11)/factor_trimestre," - ")</f>
        <v>6.4885993485342022</v>
      </c>
      <c r="BI16" s="243">
        <f>IF(ISNUMBER('Resol  Asuntos'!D16/NºAsuntos!G16),'Resol  Asuntos'!D16/NºAsuntos!G16," - ")</f>
        <v>0.11400651465798045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7.3125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681</v>
      </c>
      <c r="G18" s="898">
        <f>SUBTOTAL(9,G15:G17)</f>
        <v>715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323</v>
      </c>
      <c r="AC18" s="899">
        <f t="shared" si="4"/>
        <v>4</v>
      </c>
      <c r="AD18" s="899">
        <f t="shared" si="4"/>
        <v>0</v>
      </c>
      <c r="AE18" s="899">
        <f t="shared" si="4"/>
        <v>0</v>
      </c>
      <c r="AF18" s="899">
        <f t="shared" si="4"/>
        <v>703</v>
      </c>
      <c r="AG18" s="899">
        <f t="shared" si="4"/>
        <v>0</v>
      </c>
      <c r="AH18" s="899">
        <f t="shared" si="4"/>
        <v>0</v>
      </c>
      <c r="AI18" s="899">
        <f t="shared" si="4"/>
        <v>0</v>
      </c>
      <c r="AJ18" s="899">
        <f t="shared" si="4"/>
        <v>0</v>
      </c>
      <c r="AK18" s="899">
        <f t="shared" si="4"/>
        <v>0</v>
      </c>
      <c r="AL18" s="899">
        <f t="shared" si="4"/>
        <v>0</v>
      </c>
      <c r="AM18" s="899">
        <f t="shared" si="4"/>
        <v>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212</v>
      </c>
      <c r="BE18" s="899">
        <f t="shared" si="4"/>
        <v>0</v>
      </c>
      <c r="BF18" s="899">
        <f t="shared" si="4"/>
        <v>0</v>
      </c>
      <c r="BG18" s="899">
        <f>IF(ISNUMBER(Datos!K18/Datos!J18),Datos!K18/Datos!J18," - ")</f>
        <v>1.0555555555555556</v>
      </c>
      <c r="BH18" s="903">
        <f>IF(ISNUMBER(((Datos!L18/Datos!K18)*11)/factor_trimestre),((Datos!L18/Datos!K18)*11)/factor_trimestre," - ")</f>
        <v>6.5294117647058814</v>
      </c>
      <c r="BI18" s="899">
        <f>SUBTOTAL(9,BI15:BI17)</f>
        <v>0.23900651465798045</v>
      </c>
      <c r="BJ18" s="899">
        <f>SUBTOTAL(9,BJ15:BJ17)</f>
        <v>0</v>
      </c>
      <c r="BK18" s="899">
        <f>SUBTOTAL(9,BK15:BK17)</f>
        <v>0</v>
      </c>
      <c r="BL18" s="899">
        <f>IF(ISNUMBER((I18-AB18+L18)/(F18)),(I18-AB18+L18)/(F18)," - ")</f>
        <v>-0.47430249632892807</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690</v>
      </c>
      <c r="G19" s="820">
        <f t="shared" si="6"/>
        <v>724</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330</v>
      </c>
      <c r="AC19" s="821">
        <f t="shared" si="7"/>
        <v>74</v>
      </c>
      <c r="AD19" s="821">
        <f t="shared" si="7"/>
        <v>0</v>
      </c>
      <c r="AE19" s="821">
        <f t="shared" si="7"/>
        <v>0</v>
      </c>
      <c r="AF19" s="828">
        <f t="shared" si="7"/>
        <v>712</v>
      </c>
      <c r="AG19" s="828">
        <f t="shared" si="7"/>
        <v>0</v>
      </c>
      <c r="AH19" s="828">
        <f t="shared" si="7"/>
        <v>4</v>
      </c>
      <c r="AI19" s="828">
        <f t="shared" si="7"/>
        <v>0</v>
      </c>
      <c r="AJ19" s="821">
        <f t="shared" si="7"/>
        <v>0</v>
      </c>
      <c r="AK19" s="828">
        <f t="shared" si="7"/>
        <v>0</v>
      </c>
      <c r="AL19" s="828">
        <f t="shared" si="7"/>
        <v>0</v>
      </c>
      <c r="AM19" s="828">
        <f t="shared" si="7"/>
        <v>581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v>
      </c>
      <c r="BD19" s="820">
        <f t="shared" si="7"/>
        <v>247</v>
      </c>
      <c r="BE19" s="820">
        <f t="shared" si="7"/>
        <v>0</v>
      </c>
      <c r="BF19" s="830">
        <f t="shared" si="7"/>
        <v>0</v>
      </c>
      <c r="BG19" s="915">
        <f>IF(ISNUMBER(Datos!K19/Datos!J19),Datos!K19/Datos!J19," - ")</f>
        <v>0.77272727272727271</v>
      </c>
      <c r="BH19" s="915">
        <f>IF(ISNUMBER(((Datos!L19/Datos!K19)*11)/factor_trimestre),((Datos!L19/Datos!K19)*11)/factor_trimestre," - ")</f>
        <v>10.459276018099548</v>
      </c>
      <c r="BI19" s="813">
        <f>IF(ISNUMBER(Datos!J19/Datos!I19),Datos!J19/Datos!I19," - ")</f>
        <v>0.40682788051209101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-0.47826086956521741</v>
      </c>
      <c r="BM19" s="889">
        <f>IF(ISNUMBER((Datos!P19-Datos!Q19+R19)/(Datos!R19-Datos!P19+Datos!Q19-R19)),(Datos!P19-Datos!Q19+R19)/(Datos!R19-Datos!P19+Datos!Q19-R19)," - ")</f>
        <v>-4.9099836333878884E-2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387.97938089542851</v>
      </c>
      <c r="G21" s="552">
        <f>IF(ISNUMBER(STDEV(G8:G18)),STDEV(G8:G18),"-")</f>
        <v>370.99299184755495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167.19150696132863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23.346662859318172</v>
      </c>
      <c r="BD21" s="551"/>
      <c r="BE21" s="551">
        <f>IF(ISNUMBER(STDEV(BE8:BE18)),STDEV(BE8:BE18),"-")</f>
        <v>0</v>
      </c>
      <c r="BF21" s="556">
        <f>IF(ISNUMBER(STDEV(BF8:BF18)),STDEV(BF8:BF18),"-")</f>
        <v>0</v>
      </c>
      <c r="BG21" s="775">
        <f>IF(ISNUMBER(STDEV(BG8:BG18)),STDEV(BG8:BG18),"-")</f>
        <v>0.30023852766971998</v>
      </c>
      <c r="BH21" s="776">
        <f>IF(ISNUMBER(STDEV(BH8:BH18)),STDEV(BH8:BH18),"-")</f>
        <v>7.7977083178070705</v>
      </c>
      <c r="BI21" s="249">
        <f>IF(ISNUMBER(STDEV(BI8:BI18)),STDEV(BI8:BI18),"-")</f>
        <v>0.1372319225756313</v>
      </c>
      <c r="BJ21" s="230" t="str">
        <f>IF(ISNUMBER(BL21/BM21),BL21/BM21," - ")</f>
        <v xml:space="preserve"> - </v>
      </c>
      <c r="BK21" s="575"/>
      <c r="BL21" s="559">
        <f>IF(ISNUMBER(STDEV(BL8:BL18)),STDEV(BL8:BL18),"-")</f>
        <v>0.21458942943497775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RDxfdZvJtFFofJqFVWCJ4lMb3su/aMW6LyYLXCyp22tvjaQm4mvAw2hEDJQJW4MKKFviFE/xw6qLJMnxh4g4w==" saltValue="/UpSHbzCUDuRayrOI207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TARAZONA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3.8571428571428577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v>
      </c>
      <c r="AA12" s="332" t="str">
        <f>IF(ISNUMBER(IF(J_V="SI",Datos!L12,Datos!L12+Datos!AB12)-IF(Monitorios="SI",Datos!CD12,0)),
                          IF(J_V="SI",Datos!L12,Datos!L12+Datos!AB12)-IF(Monitorios="SI",Datos!CD12,0),
                          " - ")</f>
        <v xml:space="preserve"> - </v>
      </c>
      <c r="AB12" s="334"/>
      <c r="AC12" s="334"/>
      <c r="AD12" s="484"/>
      <c r="AE12" s="484">
        <f>IF(ISNUMBER(Datos!R12),Datos!R12," - ")</f>
        <v>543</v>
      </c>
      <c r="AF12" s="229" t="str">
        <f>IF(ISNUMBER(Datos!BV12),Datos!BV12," - ")</f>
        <v xml:space="preserve"> - </v>
      </c>
      <c r="AG12" s="225" t="str">
        <f>IF(ISNUMBER(Datos!DV12),Datos!DV12," - ")</f>
        <v xml:space="preserve"> - </v>
      </c>
      <c r="AH12" s="298"/>
      <c r="AI12" s="227"/>
      <c r="AJ12" s="225">
        <f>IF(ISNUMBER(Datos!M12),Datos!M12," - ")</f>
        <v>52</v>
      </c>
      <c r="AK12" s="229">
        <f>IF(ISNUMBER(Datos!N12),Datos!N12," - ")</f>
        <v>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20.825000000000003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-5.7291666666666664E-2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70</v>
      </c>
      <c r="AA13" s="900">
        <f t="shared" si="2"/>
        <v>9</v>
      </c>
      <c r="AB13" s="900">
        <f t="shared" si="2"/>
        <v>0</v>
      </c>
      <c r="AC13" s="900">
        <f t="shared" si="2"/>
        <v>0</v>
      </c>
      <c r="AD13" s="900">
        <f t="shared" si="2"/>
        <v>0</v>
      </c>
      <c r="AE13" s="900">
        <f t="shared" si="2"/>
        <v>545</v>
      </c>
      <c r="AF13" s="908">
        <f t="shared" si="2"/>
        <v>0</v>
      </c>
      <c r="AG13" s="908">
        <f t="shared" si="2"/>
        <v>0</v>
      </c>
      <c r="AH13" s="908">
        <f t="shared" si="2"/>
        <v>0</v>
      </c>
      <c r="AI13" s="908">
        <f t="shared" si="2"/>
        <v>0</v>
      </c>
      <c r="AJ13" s="908">
        <f t="shared" si="2"/>
        <v>52</v>
      </c>
      <c r="AK13" s="908">
        <f t="shared" si="2"/>
        <v>35</v>
      </c>
      <c r="AL13" s="908">
        <f t="shared" si="2"/>
        <v>0</v>
      </c>
      <c r="AM13" s="908">
        <f t="shared" si="2"/>
        <v>0</v>
      </c>
      <c r="AN13" s="908">
        <f t="shared" si="2"/>
        <v>0</v>
      </c>
      <c r="AO13" s="904">
        <f>IF(ISNUMBER(((NºAsuntos!I13/NºAsuntos!G13)*11)/factor_trimestre),((NºAsuntos!I13/NºAsuntos!G13)*11)/factor_trimestre," - ")</f>
        <v>19.889763779527559</v>
      </c>
      <c r="AP13" s="910" t="str">
        <f>IF(ISNUMBER(Datos!CI13/Datos!CJ13),Datos!CI13/Datos!CJ13," - ")</f>
        <v xml:space="preserve"> - </v>
      </c>
      <c r="AQ13" s="928">
        <f t="shared" ref="AQ13:AV13" si="3">SUBTOTAL(9,AQ9:AQ12)</f>
        <v>0</v>
      </c>
      <c r="AR13" s="928">
        <f t="shared" si="3"/>
        <v>-5.7291666666666664E-2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681</v>
      </c>
      <c r="G16" s="225">
        <f>IF(ISNUMBER(IF(D_I="SI",Datos!I16,Datos!I16+Datos!AC16)),IF(D_I="SI",Datos!I16,Datos!I16+Datos!AC16)," - ")</f>
        <v>676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307</v>
      </c>
      <c r="Z16" s="619">
        <f>IF(ISNUMBER(Datos!Q16),Datos!Q16," - ")</f>
        <v>4</v>
      </c>
      <c r="AA16" s="332">
        <f>IF(ISNUMBER(IF(D_I="SI",Datos!L16,Datos!L16+Datos!AF16)),IF(D_I="SI",Datos!L16,Datos!L16+Datos!AF16)," - ")</f>
        <v>664</v>
      </c>
      <c r="AB16" s="334"/>
      <c r="AC16" s="334"/>
      <c r="AD16" s="484"/>
      <c r="AE16" s="484">
        <f>IF(ISNUMBER(Datos!R16),Datos!R16," - ")</f>
        <v>36</v>
      </c>
      <c r="AF16" s="229" t="str">
        <f>IF(ISNUMBER(Datos!BV16),Datos!BV16," - ")</f>
        <v xml:space="preserve"> - </v>
      </c>
      <c r="AG16" s="225"/>
      <c r="AH16" s="298"/>
      <c r="AI16" s="227"/>
      <c r="AJ16" s="225">
        <f>IF(ISNUMBER(Datos!M16),Datos!M16," - ")</f>
        <v>35</v>
      </c>
      <c r="AK16" s="229">
        <f>IF(ISNUMBER(Datos!N16),Datos!N16," - ")</f>
        <v>201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6.4885993485342022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7.3125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681</v>
      </c>
      <c r="G18" s="898">
        <f>SUBTOTAL(9,G15:G17)</f>
        <v>715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323</v>
      </c>
      <c r="Z18" s="932">
        <f t="shared" si="5"/>
        <v>4</v>
      </c>
      <c r="AA18" s="932">
        <f t="shared" si="5"/>
        <v>703</v>
      </c>
      <c r="AB18" s="932">
        <f t="shared" si="5"/>
        <v>0</v>
      </c>
      <c r="AC18" s="932">
        <f t="shared" si="5"/>
        <v>0</v>
      </c>
      <c r="AD18" s="932">
        <f t="shared" si="5"/>
        <v>0</v>
      </c>
      <c r="AE18" s="932">
        <f t="shared" si="5"/>
        <v>36</v>
      </c>
      <c r="AF18" s="932">
        <f t="shared" si="5"/>
        <v>0</v>
      </c>
      <c r="AG18" s="932">
        <f t="shared" si="5"/>
        <v>0</v>
      </c>
      <c r="AH18" s="932">
        <f t="shared" si="5"/>
        <v>0</v>
      </c>
      <c r="AI18" s="932">
        <f t="shared" si="5"/>
        <v>0</v>
      </c>
      <c r="AJ18" s="932">
        <f t="shared" si="5"/>
        <v>37</v>
      </c>
      <c r="AK18" s="932">
        <f t="shared" si="5"/>
        <v>212</v>
      </c>
      <c r="AL18" s="932">
        <f t="shared" si="5"/>
        <v>0</v>
      </c>
      <c r="AM18" s="932">
        <f t="shared" si="5"/>
        <v>0</v>
      </c>
      <c r="AN18" s="932">
        <f t="shared" si="5"/>
        <v>0</v>
      </c>
      <c r="AO18" s="934">
        <f>IF(ISNUMBER(((NºAsuntos!I18/NºAsuntos!G18)*11)/factor_trimestre),((NºAsuntos!I18/NºAsuntos!G18)*11)/factor_trimestre," - ")</f>
        <v>6.5294117647058814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690</v>
      </c>
      <c r="G19" s="820">
        <f t="shared" si="7"/>
        <v>724</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330</v>
      </c>
      <c r="Z19" s="827">
        <f t="shared" si="8"/>
        <v>74</v>
      </c>
      <c r="AA19" s="828">
        <f t="shared" si="8"/>
        <v>712</v>
      </c>
      <c r="AB19" s="828">
        <f t="shared" si="8"/>
        <v>0</v>
      </c>
      <c r="AC19" s="828">
        <f t="shared" si="8"/>
        <v>0</v>
      </c>
      <c r="AD19" s="829">
        <f t="shared" si="8"/>
        <v>0</v>
      </c>
      <c r="AE19" s="829">
        <f t="shared" si="8"/>
        <v>581</v>
      </c>
      <c r="AF19" s="830">
        <f t="shared" si="8"/>
        <v>0</v>
      </c>
      <c r="AG19" s="831">
        <f t="shared" si="8"/>
        <v>0</v>
      </c>
      <c r="AH19" s="832">
        <f t="shared" si="8"/>
        <v>0</v>
      </c>
      <c r="AI19" s="830">
        <f t="shared" si="8"/>
        <v>0</v>
      </c>
      <c r="AJ19" s="820">
        <f t="shared" si="8"/>
        <v>89</v>
      </c>
      <c r="AK19" s="820">
        <f t="shared" si="8"/>
        <v>247</v>
      </c>
      <c r="AL19" s="820">
        <f t="shared" si="8"/>
        <v>0</v>
      </c>
      <c r="AM19" s="833">
        <f t="shared" si="8"/>
        <v>0</v>
      </c>
      <c r="AN19" s="823">
        <f>IF(ISNUMBER(Datos!K19/Datos!J19),Datos!K19/Datos!J19," - ")</f>
        <v>0.77272727272727271</v>
      </c>
      <c r="AO19" s="823">
        <f>IF(ISNUMBER(FIND("06",Criterios!A8,1)),(IF(ISNUMBER(((Datos!R19/Datos!Q19)*11)/factor_trimestre),((Datos!R19/Datos!Q19)*11)/factor_trimestre," - ")),(IF(ISNUMBER(((Datos!L19/Datos!K19)*11)/factor_trimestre),((Datos!L19/Datos!K19)*11)/factor_trimestre," - ")))</f>
        <v>10.459276018099548</v>
      </c>
      <c r="AP19" s="834" t="str">
        <f>IF(ISNUMBER(Datos!CI19/Datos!CJ19),Datos!CI19/Datos!CJ19," - ")</f>
        <v xml:space="preserve"> - </v>
      </c>
      <c r="AQ19" s="834">
        <f>IF(OR(ISNUMBER(FIND("01",Criterios!A8,1)),ISNUMBER(FIND("02",Criterios!A8,1)),ISNUMBER(FIND("03",Criterios!A8,1)),ISNUMBER(FIND("04",Criterios!A8,1))),(J19-Y19+K19)/(F19-K19),(I19-Y19+K19)/(F19-K19))</f>
        <v>-0.47826086956521741</v>
      </c>
      <c r="AR19" s="834">
        <f>IF(ISNUMBER((Datos!P19-Datos!Q19+O19)/(Datos!R19-Datos!P19+Datos!Q19-O19)),(Datos!P19-Datos!Q19+O19)/(Datos!R19-Datos!P19+Datos!Q19-O19)," - ")</f>
        <v>-4.9099836333878884E-2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387.97938089542851</v>
      </c>
      <c r="G21" s="552">
        <f>IF(ISNUMBER(STDEV(G8:G18)),STDEV(G8:G18),"-")</f>
        <v>370.99299184755495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23.346662859318172</v>
      </c>
      <c r="AK21" s="252"/>
      <c r="AL21" s="252">
        <f>IF(ISNUMBER(STDEV(AL8:AL18)),STDEV(AL8:AL18),"-")</f>
        <v>0</v>
      </c>
      <c r="AM21" s="254">
        <f>IF(ISNUMBER(STDEV(AM8:AM18)),STDEV(AM8:AM18),"-")</f>
        <v>0</v>
      </c>
      <c r="AN21" s="539">
        <f>IF(ISNUMBER(STDEV(AN8:AN18)),STDEV(AN8:AN18),"-")</f>
        <v>0</v>
      </c>
      <c r="AO21" s="540">
        <f>IF(ISNUMBER(STDEV(AO8:AO18)),STDEV(AO8:AO18),"-")</f>
        <v>7.4875189928846719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SBZqaow5e7uqyvdHND1mFz8mqKw1Kfaiw9iYK/h79/IblHioA6JfbzOXhvLWvJHQ6byUPXBgeTo6wtZjQl4Rg==" saltValue="paOxnkiX4ZAD8wg4XhTA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wvCr3M84sOge8K+KcKcRvXjDL9gIUyGdOIEi9FjZgnQQZ2Ypwqr02DlVIYp/02BvqM4zicZvfh0Z78RrxqsRw==" saltValue="fAVLsiLpRwXqZTiBK/Or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otCwRUUodPmsN0qluGwOgmemnmofXL4BfJ2DjvVt7c35i4oFaIyQhqVvN/3V4gWeA4+5hG4uXpgGDHWhyhJlQ==" saltValue="RAWRGdo384WwwMzzdqxm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0.40944881889763779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0.28952403639134228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jG3dgg5kEYj7zAURrx0WZT5uR0Br8WqR6vA5chH/Sw+JsHGzxj+yH3/11he/mLcwNuAFg5Z6q5GJ399aXsJ8Q==" saltValue="trauJ6K4tSyQE3y/+7YX6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XaTLqCAJwxeeBh42eKUyNtyv4QeFNQyKgqZG3wsZRPVqrI6DczJEeD3dajpZotEb2wfLXMNR7JIVTLsDH07Fw==" saltValue="WKb4wz9D0YppgXDNIvWL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TARAZONA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7</v>
      </c>
      <c r="F10" s="404">
        <f>IF(ISNUMBER(E10/B10),E10/B10," - ")</f>
        <v>7</v>
      </c>
      <c r="G10" s="403">
        <f>IF(ISNUMBER(Datos!K10),Datos!K10," - ")</f>
        <v>7</v>
      </c>
      <c r="H10" s="404">
        <f>IF(ISNUMBER(G10/B10),G10/B10," - ")</f>
        <v>7</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687</v>
      </c>
      <c r="D12" s="404">
        <f>IF(ISNUMBER(C12/Datos!BH12),C12/Datos!BH12," - ")</f>
        <v>687</v>
      </c>
      <c r="E12" s="403">
        <f>IF(ISNUMBER(IF(J_V="SI",Datos!J12,Datos!J12+Datos!Z12)),IF(J_V="SI",Datos!J12,Datos!J12+Datos!Z12)," - ")</f>
        <v>266</v>
      </c>
      <c r="F12" s="404">
        <f>IF(ISNUMBER(E12/B12),E12/B12," - ")</f>
        <v>266</v>
      </c>
      <c r="G12" s="403">
        <f>IF(ISNUMBER(IF(J_V="SI",Datos!K12,Datos!K12+Datos!AA12)),IF(J_V="SI",Datos!K12,Datos!K12+Datos!AA12)," - ")</f>
        <v>120</v>
      </c>
      <c r="H12" s="404">
        <f>IF(ISNUMBER(G12/B12),G12/B12," - ")</f>
        <v>120</v>
      </c>
      <c r="I12" s="403">
        <f>IF(ISNUMBER(IF(J_V="SI",Datos!L12,Datos!L12+Datos!AB12)),IF(J_V="SI",Datos!L12,Datos!L12+Datos!AB12)," - ")</f>
        <v>833</v>
      </c>
      <c r="J12" s="404">
        <f>IF(ISNUMBER(I12/B12),I12/B12," - ")</f>
        <v>833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696</v>
      </c>
      <c r="D13" s="850" t="str">
        <f>IF(ISNUMBER(C13/Datos!BI13),C13/Datos!BI13," - ")</f>
        <v xml:space="preserve"> - </v>
      </c>
      <c r="E13" s="849">
        <f>SUBTOTAL(9,E8:E12)</f>
        <v>273</v>
      </c>
      <c r="F13" s="850">
        <f>IF(ISNUMBER(E13/B13),E13/B13," - ")</f>
        <v>273</v>
      </c>
      <c r="G13" s="849">
        <f>SUBTOTAL(9,G8:G12)</f>
        <v>127</v>
      </c>
      <c r="H13" s="850">
        <f>IF(ISNUMBER(G13/B13),G13/B13," - ")</f>
        <v>127</v>
      </c>
      <c r="I13" s="849">
        <f>SUBTOTAL(9,I8:I12)</f>
        <v>842</v>
      </c>
      <c r="J13" s="850">
        <f>IF(ISNUMBER(I13/B13),I13/B13," - ")</f>
        <v>842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676</v>
      </c>
      <c r="D16" s="404">
        <f>IF(ISNUMBER(C16/Datos!BH16),C16/Datos!BH16," - ")</f>
        <v>676</v>
      </c>
      <c r="E16" s="403">
        <f>IF(ISNUMBER(IF(D_I="SI",Datos!J16,Datos!J16+Datos!AD16)),IF(D_I="SI",Datos!J16,Datos!J16+Datos!AD16)," - ")</f>
        <v>290</v>
      </c>
      <c r="F16" s="404">
        <f>IF(ISNUMBER(E16/B16),E16/B16," - ")</f>
        <v>290</v>
      </c>
      <c r="G16" s="403">
        <f>IF(ISNUMBER(IF(D_I="SI",Datos!K16,Datos!K16+Datos!AE16)),IF(D_I="SI",Datos!K16,Datos!K16+Datos!AE16)," - ")</f>
        <v>307</v>
      </c>
      <c r="H16" s="404">
        <f>IF(ISNUMBER(G16/B16),G16/B16," - ")</f>
        <v>307</v>
      </c>
      <c r="I16" s="403">
        <f>IF(ISNUMBER(IF(D_I="SI",Datos!L16,Datos!L16+Datos!AF16)),IF(D_I="SI",Datos!L16,Datos!L16+Datos!AF16)," - ")</f>
        <v>664</v>
      </c>
      <c r="J16" s="404">
        <f>IF(ISNUMBER(I16/B16),I16/B16," - ")</f>
        <v>664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16</v>
      </c>
      <c r="F17" s="404">
        <f>IF(ISNUMBER(E17/B17),E17/B17," - ")</f>
        <v>16</v>
      </c>
      <c r="G17" s="403">
        <f>IF(ISNUMBER(IF(D_I="SI",Datos!K17,Datos!K17+Datos!AE17)),IF(D_I="SI",Datos!K17,Datos!K17+Datos!AE17)," - ")</f>
        <v>16</v>
      </c>
      <c r="H17" s="404">
        <f>IF(ISNUMBER(G17/B17),G17/B17," - ")</f>
        <v>16</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715</v>
      </c>
      <c r="D18" s="850" t="str">
        <f>IF(ISNUMBER(C18/Datos!BI18),C18/Datos!BI18," - ")</f>
        <v xml:space="preserve"> - </v>
      </c>
      <c r="E18" s="849">
        <f>SUBTOTAL(9,E14:E17)</f>
        <v>306</v>
      </c>
      <c r="F18" s="850">
        <f>IF(ISNUMBER(E18/B18),E18/B18," - ")</f>
        <v>306</v>
      </c>
      <c r="G18" s="849">
        <f>SUBTOTAL(9,G14:G17)</f>
        <v>323</v>
      </c>
      <c r="H18" s="850">
        <f>IF(ISNUMBER(G18/B18),G18/B18," - ")</f>
        <v>323</v>
      </c>
      <c r="I18" s="849">
        <f>SUBTOTAL(9,I14:I17)</f>
        <v>703</v>
      </c>
      <c r="J18" s="850">
        <f>IF(ISNUMBER(I18/B18),I18/B18," - ")</f>
        <v>703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1411</v>
      </c>
      <c r="D19" s="795" t="str">
        <f>IF(ISNUMBER(C19/Datos!BI19),C19/Datos!BI19," - ")</f>
        <v xml:space="preserve"> - </v>
      </c>
      <c r="E19" s="794">
        <f>SUBTOTAL(9,E9:E18)</f>
        <v>579</v>
      </c>
      <c r="F19" s="795">
        <f>IF(ISNUMBER(E19/B19),E19/B19," - ")</f>
        <v>579</v>
      </c>
      <c r="G19" s="794">
        <f>SUBTOTAL(9,G9:G18)</f>
        <v>450</v>
      </c>
      <c r="H19" s="795">
        <f>IF(ISNUMBER(G19/B19),G19/B19," - ")</f>
        <v>450</v>
      </c>
      <c r="I19" s="794">
        <f>SUBTOTAL(9,I9:I18)</f>
        <v>1545</v>
      </c>
      <c r="J19" s="795">
        <f>IF(ISNUMBER(I19/B19),I19/B19," - ")</f>
        <v>1545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ykwc+1m+/olY4pIvDEWgpqYRM4Mp++hW3HNVA7asDS0UQ+TagOz5qgNJLBg/hWk5YscuxmA0MMnenkKnmJAkg==" saltValue="o0k8InbRWIw5Ecuskd4Y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TARAZONA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3.8571428571428577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v>
      </c>
      <c r="AM12" s="690">
        <f>IF(ISNUMBER(Datos!N12+DatosP!N16),Datos!N12+DatosP!N16," - ")</f>
        <v>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20.825000000000003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-5.7291666666666664E-2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69</v>
      </c>
      <c r="AE13" s="939">
        <f t="shared" si="1"/>
        <v>0</v>
      </c>
      <c r="AF13" s="939">
        <f t="shared" si="1"/>
        <v>9</v>
      </c>
      <c r="AG13" s="939">
        <f t="shared" si="1"/>
        <v>0</v>
      </c>
      <c r="AH13" s="939">
        <f t="shared" si="1"/>
        <v>543</v>
      </c>
      <c r="AI13" s="939">
        <f t="shared" si="1"/>
        <v>0</v>
      </c>
      <c r="AJ13" s="939">
        <f t="shared" si="1"/>
        <v>0</v>
      </c>
      <c r="AK13" s="939">
        <f t="shared" si="1"/>
        <v>0</v>
      </c>
      <c r="AL13" s="939">
        <f t="shared" si="1"/>
        <v>52</v>
      </c>
      <c r="AM13" s="939">
        <f t="shared" si="1"/>
        <v>35</v>
      </c>
      <c r="AN13" s="939">
        <f t="shared" si="1"/>
        <v>0</v>
      </c>
      <c r="AO13" s="939">
        <f t="shared" si="1"/>
        <v>0</v>
      </c>
      <c r="AP13" s="944">
        <f>IF(ISNUMBER(((Datos!L13/Datos!K13)*11)/factor_trimestre),((Datos!L13/Datos!K13)*11)/factor_trimestre," - ")</f>
        <v>21.12605042016807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-0.77777777777777779</v>
      </c>
      <c r="AU13" s="939" t="str">
        <f>IF(ISNUMBER((DatosP!#REF!-DatosP!#REF!+DatosP!#REF!)/(DatosP!#REF!+DatosP!#REF!-DatosP!#REF!-DatosP!#REF!)),(DatosP!#REF!-DatosP!#REF!+DatosP!#REF!)/(DatosP!#REF!+DatosP!#REF!-DatosP!#REF!-DatosP!#REF!)," - ")</f>
        <v xml:space="preserve"> - </v>
      </c>
      <c r="AV13" s="945">
        <f>SUBTOTAL(9,AV9:AV12)</f>
        <v>-5.7291666666666664E-2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6.5294117647058814</v>
      </c>
      <c r="AQ18" s="944">
        <f>IF(ISNUMBER(((Datos!M18/Datos!L18)*11)/factor_trimestre),((Datos!M18/Datos!L18)*11)/factor_trimestre," - ")</f>
        <v>0.15789473684210528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-4.9382716049382713E-2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69</v>
      </c>
      <c r="AE19" s="957">
        <f t="shared" si="5"/>
        <v>0</v>
      </c>
      <c r="AF19" s="958">
        <f t="shared" si="5"/>
        <v>9</v>
      </c>
      <c r="AG19" s="958">
        <f t="shared" si="5"/>
        <v>0</v>
      </c>
      <c r="AH19" s="958">
        <f t="shared" si="5"/>
        <v>543</v>
      </c>
      <c r="AI19" s="958">
        <f t="shared" si="5"/>
        <v>0</v>
      </c>
      <c r="AJ19" s="959">
        <f t="shared" si="5"/>
        <v>0</v>
      </c>
      <c r="AK19" s="959">
        <f t="shared" si="5"/>
        <v>0</v>
      </c>
      <c r="AL19" s="951">
        <f t="shared" si="5"/>
        <v>52</v>
      </c>
      <c r="AM19" s="951">
        <f t="shared" si="5"/>
        <v>35</v>
      </c>
      <c r="AN19" s="951">
        <f t="shared" si="5"/>
        <v>0</v>
      </c>
      <c r="AO19" s="951">
        <f t="shared" si="5"/>
        <v>0</v>
      </c>
      <c r="AP19" s="951">
        <f>IF(ISNUMBER(((Datos!L19/Datos!K19)*11)/factor_trimestre),((Datos!L19/Datos!K19)*11)/factor_trimestre," - ")</f>
        <v>10.459276018099548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-4.9099836333878884E-2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30.02221399786054</v>
      </c>
      <c r="AM21" s="736"/>
      <c r="AN21" s="736">
        <f>IF(ISNUMBER(STDEV(AN8:AN18)),STDEV(AN8:AN18),"-")</f>
        <v>0</v>
      </c>
      <c r="AO21" s="742">
        <f>IF(ISNUMBER(STDEV(AO8:AO18)),STDEV(AO8:AO18),"-")</f>
        <v>0</v>
      </c>
      <c r="AP21" s="779">
        <f>IF(ISNUMBER(STDEV(AP8:AP18)),STDEV(AP8:AP18),"-")</f>
        <v>9.1777843184041483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5mzOmsOEN1AD0WVQL/gQBd07Gm7CgxVep+tRedTSs3pWeoDFWVzh1BodUROqXwO504HrUFqDbmVr9F3yC/8XaQ==" saltValue="dqp684Ao9Pmxcu8qD9eP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TARAZONA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8nv7a6yGP2TTieHqWWqkLKFdFVUTXFh32RYVrRcYhEucu+pA6/Tsve/aobAWTr+qw/D0zI0rB3sdmyKEmY2Rg==" saltValue="mmjaZ1RYALCWd64Elgnk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TARAZONA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52</v>
      </c>
      <c r="E12" s="404">
        <f t="shared" si="0"/>
        <v>52</v>
      </c>
      <c r="F12" s="403">
        <f>IF(ISNUMBER(Datos!N12),Datos!N12," - ")</f>
        <v>33</v>
      </c>
      <c r="G12" s="404">
        <f t="shared" si="1"/>
        <v>33</v>
      </c>
      <c r="H12" s="403">
        <f>IF(ISNUMBER(Datos!O12),Datos!O12," - ")</f>
        <v>39</v>
      </c>
      <c r="I12" s="404">
        <f t="shared" si="2"/>
        <v>39</v>
      </c>
      <c r="BZ12" s="1186">
        <f>Datos!EZ12</f>
        <v>0</v>
      </c>
    </row>
    <row r="13" spans="1:78" ht="14.25" thickTop="1" thickBot="1">
      <c r="A13" s="848" t="str">
        <f>Datos!A13</f>
        <v>TOTAL</v>
      </c>
      <c r="B13" s="849">
        <f>Datos!AP13</f>
        <v>1</v>
      </c>
      <c r="C13" s="851">
        <f>Datos!AR13</f>
        <v>1</v>
      </c>
      <c r="D13" s="849">
        <f>SUBTOTAL(9,D9:D12)</f>
        <v>52</v>
      </c>
      <c r="E13" s="850">
        <f t="shared" si="0"/>
        <v>52</v>
      </c>
      <c r="F13" s="849">
        <f>SUBTOTAL(9,F9:F12)</f>
        <v>35</v>
      </c>
      <c r="G13" s="850">
        <f t="shared" si="1"/>
        <v>35</v>
      </c>
      <c r="H13" s="849">
        <f>SUBTOTAL(9,H9:H12)</f>
        <v>41</v>
      </c>
      <c r="I13" s="850">
        <f>IF(ISNUMBER(H13/B13),H13/B13," - ")</f>
        <v>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201</v>
      </c>
      <c r="G16" s="404">
        <f t="shared" si="4"/>
        <v>201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37</v>
      </c>
      <c r="E18" s="850">
        <f t="shared" si="3"/>
        <v>37</v>
      </c>
      <c r="F18" s="849">
        <f>SUBTOTAL(9,F15:F17)</f>
        <v>212</v>
      </c>
      <c r="G18" s="850">
        <f t="shared" si="4"/>
        <v>212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89</v>
      </c>
      <c r="E19" s="795">
        <f>IF(ISNUMBER(D19/B19),D19/B19," - ")</f>
        <v>89</v>
      </c>
      <c r="F19" s="794">
        <f>SUBTOTAL(9,F8:F18)</f>
        <v>247</v>
      </c>
      <c r="G19" s="795">
        <f>IF(ISNUMBER(F19/B19),F19/B19," - ")</f>
        <v>247</v>
      </c>
      <c r="H19" s="794">
        <f>SUBTOTAL(9,H8:H18)</f>
        <v>41</v>
      </c>
      <c r="I19" s="795">
        <f>IF(ISNUMBER(H19/B19),H19/B19," - ")</f>
        <v>41</v>
      </c>
    </row>
    <row r="22" spans="1:78">
      <c r="A22" s="391" t="str">
        <f>Criterios!A4</f>
        <v>Fecha Informe: 27 feb. 2025</v>
      </c>
    </row>
    <row r="27" spans="1:78">
      <c r="A27" s="414"/>
    </row>
  </sheetData>
  <sheetProtection algorithmName="SHA-512" hashValue="KLrTIE16US4a785TWs0caJLYH6nkLAB10Q7SD+WTSii74HgZBaoBwZe1SsNPCb1PDq8tnVMDP8vpQDkI188Zzw==" saltValue="PhHwpZr4Ma3BxtLYNfRW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TARAZONA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69</v>
      </c>
      <c r="D12" s="408">
        <f>IF(ISNUMBER(Datos!R12),Datos!R12," - ")</f>
        <v>543</v>
      </c>
    </row>
    <row r="13" spans="1:4" ht="14.25" thickTop="1" thickBot="1">
      <c r="A13" s="848" t="str">
        <f>Datos!A13</f>
        <v>TOTAL</v>
      </c>
      <c r="B13" s="849">
        <f>SUBTOTAL(9,B9:B12)</f>
        <v>37</v>
      </c>
      <c r="C13" s="853">
        <f>SUBTOTAL(9,C9:C12)</f>
        <v>70</v>
      </c>
      <c r="D13" s="851">
        <f>SUBTOTAL(9,D9:D12)</f>
        <v>545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v>
      </c>
      <c r="D18" s="851">
        <f>SUBTOTAL(9,D15:D17)</f>
        <v>36</v>
      </c>
    </row>
    <row r="19" spans="1:4" ht="16.5" customHeight="1" thickTop="1" thickBot="1">
      <c r="A19" s="793" t="str">
        <f>Datos!A19</f>
        <v>TOTAL JURISDICCIONES</v>
      </c>
      <c r="B19" s="798">
        <f>SUBTOTAL(9,B8:B18)</f>
        <v>44</v>
      </c>
      <c r="C19" s="799">
        <f>SUBTOTAL(9,C8:C18)</f>
        <v>74</v>
      </c>
      <c r="D19" s="800">
        <f>SUBTOTAL(9,D8:D18)</f>
        <v>581</v>
      </c>
    </row>
    <row r="20" spans="1:4" ht="7.5" customHeight="1"/>
    <row r="21" spans="1:4" ht="6" customHeight="1"/>
    <row r="22" spans="1:4">
      <c r="A22" s="391" t="str">
        <f>Criterios!A4</f>
        <v>Fecha Informe: 27 feb. 2025</v>
      </c>
    </row>
    <row r="27" spans="1:4">
      <c r="A27" s="414"/>
    </row>
  </sheetData>
  <sheetProtection algorithmName="SHA-512" hashValue="M5QMzFWJ93SCfFgdMHlpPKdGluEbs158yIEyX4/iEgFQXf/psALsH75pxMmEA45/vxTWZVoPV4uiI/KQNS+2sg==" saltValue="iqECWN50sv1DzCxydjYc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TARAZONA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6</v>
      </c>
      <c r="D10" s="456" t="str">
        <f>IF(ISNUMBER((Datos!K10-Datos!U10)/Datos!U10),(Datos!K10-Datos!U10)/Datos!U10," - ")</f>
        <v xml:space="preserve"> - </v>
      </c>
      <c r="E10" s="456">
        <f>IF(ISNUMBER((Datos!L10-Datos!V10)/Datos!V10),(Datos!L10-Datos!V10)/Datos!V10," - ")</f>
        <v>-0.1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0.10806451612903226</v>
      </c>
      <c r="C12" s="456">
        <f>IF(ISNUMBER(
   IF(J_V="SI",(Datos!J12-Datos!T12)/Datos!T12,(Datos!J12+Datos!Z12-(Datos!T12+Datos!AH12))/(Datos!T12+Datos!AH12))
     ),IF(J_V="SI",(Datos!J12-Datos!T12)/Datos!T12,(Datos!J12+Datos!Z12-(Datos!T12+Datos!AH12))/(Datos!T12+Datos!AH12))," - ")</f>
        <v>0.17699115044247787</v>
      </c>
      <c r="D12" s="456">
        <f>IF(ISNUMBER(
   IF(J_V="SI",(Datos!K12-Datos!U12)/Datos!U12,(Datos!K12+Datos!AA12-(Datos!U12+Datos!AI12))/(Datos!U12+Datos!AI12))
     ),IF(J_V="SI",(Datos!K12-Datos!U12)/Datos!U12,(Datos!K12+Datos!AA12-(Datos!U12+Datos!AI12))/(Datos!U12+Datos!AI12))," - ")</f>
        <v>-0.14285714285714285</v>
      </c>
      <c r="E12" s="456">
        <f>IF(ISNUMBER(
   IF(J_V="SI",(Datos!L12-Datos!V12)/Datos!V12,(Datos!L12+Datos!AB12-(Datos!V12+Datos!AJ12))/(Datos!V12+Datos!AJ12))
     ),IF(J_V="SI",(Datos!L12-Datos!V12)/Datos!V12,(Datos!L12+Datos!AB12-(Datos!V12+Datos!AJ12))/(Datos!V12+Datos!AJ12))," - ")</f>
        <v>0.17988668555240794</v>
      </c>
      <c r="F12" s="456">
        <f>IF(ISNUMBER((Datos!M12-Datos!W12)/Datos!W12),(Datos!M12-Datos!W12)/Datos!W12," - ")</f>
        <v>0.92592592592592593</v>
      </c>
      <c r="G12" s="457">
        <f>IF(ISNUMBER((Datos!N12-Datos!X12)/Datos!X12),(Datos!N12-Datos!X12)/Datos!X12," - ")</f>
        <v>-0.44067796610169491</v>
      </c>
      <c r="H12" s="455">
        <f>IF(ISNUMBER(((NºAsuntos!G12/NºAsuntos!E12)-Datos!BD12)/Datos!BD12),((NºAsuntos!G12/NºAsuntos!E12)-Datos!BD12)/Datos!BD12," - ")</f>
        <v>-0.27175080558539205</v>
      </c>
      <c r="I12" s="456">
        <f>IF(ISNUMBER(((NºAsuntos!I12/NºAsuntos!G12)-Datos!BE12)/Datos!BE12),((NºAsuntos!I12/NºAsuntos!G12)-Datos!BE12)/Datos!BE12," - ")</f>
        <v>0.37653446647780925</v>
      </c>
      <c r="J12" s="461">
        <f>IF(ISNUMBER((('Resol  Asuntos'!D12/NºAsuntos!G12)-Datos!BF12)/Datos!BF12),(('Resol  Asuntos'!D12/NºAsuntos!G12)-Datos!BF12)/Datos!BF12," - ")</f>
        <v>2.82485875706215E-2</v>
      </c>
      <c r="K12" s="462">
        <f>IF(ISNUMBER((((NºAsuntos!C12+NºAsuntos!E12)/NºAsuntos!G12)-Datos!BG12)/Datos!BG12),(((NºAsuntos!C12+NºAsuntos!E12)/NºAsuntos!G12)-Datos!BG12)/Datos!BG12," - ")</f>
        <v>0.31422379826635144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0.10651828298887123</v>
      </c>
      <c r="C13" s="855">
        <f>IF(ISNUMBER(
   IF(J_V="SI",(Datos!J13-Datos!T13)/Datos!T13,(Datos!J13+Datos!Z13-(Datos!T13+Datos!AH13))/(Datos!T13+Datos!AH13))
     ),IF(J_V="SI",(Datos!J13-Datos!T13)/Datos!T13,(Datos!J13+Datos!Z13-(Datos!T13+Datos!AH13))/(Datos!T13+Datos!AH13))," - ")</f>
        <v>0.20264317180616739</v>
      </c>
      <c r="D13" s="855">
        <f>IF(ISNUMBER(
   IF(J_V="SI",(Datos!K13-Datos!U13)/Datos!U13,(Datos!K13+Datos!AA13-(Datos!U13+Datos!AI13))/(Datos!U13+Datos!AI13))
     ),IF(J_V="SI",(Datos!K13-Datos!U13)/Datos!U13,(Datos!K13+Datos!AA13-(Datos!U13+Datos!AI13))/(Datos!U13+Datos!AI13))," - ")</f>
        <v>-9.285714285714286E-2</v>
      </c>
      <c r="E13" s="855">
        <f>IF(ISNUMBER(
   IF(J_V="SI",(Datos!L13-Datos!V13)/Datos!V13,(Datos!L13+Datos!AB13-(Datos!V13+Datos!AJ13))/(Datos!V13+Datos!AJ13))
     ),IF(J_V="SI",(Datos!L13-Datos!V13)/Datos!V13,(Datos!L13+Datos!AB13-(Datos!V13+Datos!AJ13))/(Datos!V13+Datos!AJ13))," - ")</f>
        <v>0.17597765363128492</v>
      </c>
      <c r="F13" s="856">
        <f>IF(ISNUMBER((Datos!M13-Datos!W13)/Datos!W13),(Datos!M13-Datos!W13)/Datos!W13," - ")</f>
        <v>0.92592592592592593</v>
      </c>
      <c r="G13" s="857">
        <f>IF(ISNUMBER((Datos!N13-Datos!X13)/Datos!X13),(Datos!N13-Datos!X13)/Datos!X13," - ")</f>
        <v>-0.40677966101694918</v>
      </c>
      <c r="H13" s="857">
        <f>IF(ISNUMBER(((NºAsuntos!G13/NºAsuntos!E13)-Datos!BD13)/Datos!BD13),((NºAsuntos!G13/NºAsuntos!E13)-Datos!BD13)/Datos!BD13," - ")</f>
        <v>-0.24570905285191</v>
      </c>
      <c r="I13" s="857">
        <f>IF(ISNUMBER(((NºAsuntos!I13/NºAsuntos!G13)-Datos!BE13)/Datos!BE13),((NºAsuntos!I13/NºAsuntos!G13)-Datos!BE13)/Datos!BE13," - ")</f>
        <v>0.29635331896362122</v>
      </c>
      <c r="J13" s="857">
        <f>IF(ISNUMBER((('Resol  Asuntos'!D13/NºAsuntos!G13)-Datos!BF13)/Datos!BF13),(('Resol  Asuntos'!D13/NºAsuntos!G13)-Datos!BF13)/Datos!BF13," - ")</f>
        <v>-2.8426531429334063E-2</v>
      </c>
      <c r="K13" s="857">
        <f>IF(ISNUMBER((((NºAsuntos!C13+NºAsuntos!E13)/NºAsuntos!G13)-Datos!BG13)/Datos!BG13),(((NºAsuntos!C13+NºAsuntos!E13)/NºAsuntos!G13)-Datos!BG13)/Datos!BG13," - ")</f>
        <v>0.24788431819854298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0.23357664233576642</v>
      </c>
      <c r="C16" s="456">
        <f>IF(ISNUMBER(
   IF(D_I="SI",(Datos!J16-Datos!T16)/Datos!T16,(Datos!J16+Datos!AD16-(Datos!T16+Datos!AL16))/(Datos!T16+Datos!AL16))
     ),IF(D_I="SI",(Datos!J16-Datos!T16)/Datos!T16,(Datos!J16+Datos!AD16-(Datos!T16+Datos!AL16))/(Datos!T16+Datos!AL16))," - ")</f>
        <v>0.30044843049327352</v>
      </c>
      <c r="D16" s="456">
        <f>IF(ISNUMBER(
   IF(D_I="SI",(Datos!K16-Datos!U16)/Datos!U16,(Datos!K16+Datos!AE16-(Datos!U16+Datos!AM16))/(Datos!U16+Datos!AM16))
     ),IF(D_I="SI",(Datos!K16-Datos!U16)/Datos!U16,(Datos!K16+Datos!AE16-(Datos!U16+Datos!AM16))/(Datos!U16+Datos!AM16))," - ")</f>
        <v>0.69613259668508287</v>
      </c>
      <c r="E16" s="456">
        <f>IF(ISNUMBER(
   IF(D_I="SI",(Datos!L16-Datos!V16)/Datos!V16,(Datos!L16+Datos!AF16-(Datos!V16+Datos!AN16))/(Datos!V16+Datos!AN16))
     ),IF(D_I="SI",(Datos!L16-Datos!V16)/Datos!V16,(Datos!L16+Datos!AF16-(Datos!V16+Datos!AN16))/(Datos!V16+Datos!AN16))," - ")</f>
        <v>0.11973018549747048</v>
      </c>
      <c r="F16" s="456">
        <f>IF(ISNUMBER((Datos!M16-Datos!W16)/Datos!W16),(Datos!M16-Datos!W16)/Datos!W16," - ")</f>
        <v>1.1875</v>
      </c>
      <c r="G16" s="457">
        <f>IF(ISNUMBER((Datos!N16-Datos!X16)/Datos!X16),(Datos!N16-Datos!X16)/Datos!X16," - ")</f>
        <v>0.42553191489361702</v>
      </c>
      <c r="H16" s="455">
        <f>IF(ISNUMBER(((NºAsuntos!G16/NºAsuntos!E16)-Datos!BD16)/Datos!BD16),((NºAsuntos!G16/NºAsuntos!E16)-Datos!BD16)/Datos!BD16," - ")</f>
        <v>0.30426747951990857</v>
      </c>
      <c r="I16" s="456">
        <f>IF(ISNUMBER(((NºAsuntos!I16/NºAsuntos!G16)-Datos!BE16)/Datos!BE16),((NºAsuntos!I16/NºAsuntos!G16)-Datos!BE16)/Datos!BE16," - ")</f>
        <v>-0.33983334340377142</v>
      </c>
      <c r="J16" s="461">
        <f>IF(ISNUMBER((('Resol  Asuntos'!D16/NºAsuntos!G16)-Datos!BF16)/Datos!BF16),(('Resol  Asuntos'!D16/NºAsuntos!G16)-Datos!BF16)/Datos!BF16," - ")</f>
        <v>0.2896986970684039</v>
      </c>
      <c r="K16" s="462">
        <f>IF(ISNUMBER((((NºAsuntos!C16+NºAsuntos!E16)/NºAsuntos!G16)-Datos!BG16)/Datos!BG16),(((NºAsuntos!C16+NºAsuntos!E16)/NºAsuntos!G16)-Datos!BG16)/Datos!BG16," - ")</f>
        <v>-0.26130876183475071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-0.4264705882352941</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0.45454545454545453</v>
      </c>
      <c r="E17" s="456">
        <f>IF(ISNUMBER(
   IF(D_I="SI",(Datos!L17-Datos!V17)/Datos!V17,(Datos!L17+Datos!AF17-(Datos!V17+Datos!AN17))/(Datos!V17+Datos!AN17))
     ),IF(D_I="SI",(Datos!L17-Datos!V17)/Datos!V17,(Datos!L17+Datos!AF17-(Datos!V17+Datos!AN17))/(Datos!V17+Datos!AN17))," - ")</f>
        <v>-0.51851851851851849</v>
      </c>
      <c r="F17" s="456">
        <f>IF(ISNUMBER((Datos!M17-Datos!W17)/Datos!W17),(Datos!M17-Datos!W17)/Datos!W17," - ")</f>
        <v>1</v>
      </c>
      <c r="G17" s="457">
        <f>IF(ISNUMBER((Datos!N17-Datos!X17)/Datos!X17),(Datos!N17-Datos!X17)/Datos!X17," - ")</f>
        <v>-0.21428571428571427</v>
      </c>
      <c r="H17" s="455">
        <f>IF(ISNUMBER(((NºAsuntos!G17/NºAsuntos!E17)-Datos!BD17)/Datos!BD17),((NºAsuntos!G17/NºAsuntos!E17)-Datos!BD17)/Datos!BD17," - ")</f>
        <v>1.1818181818181821</v>
      </c>
      <c r="I17" s="456">
        <f>IF(ISNUMBER(((NºAsuntos!I17/NºAsuntos!G17)-Datos!BE17)/Datos!BE17),((NºAsuntos!I17/NºAsuntos!G17)-Datos!BE17)/Datos!BE17," - ")</f>
        <v>-0.66898148148148151</v>
      </c>
      <c r="J17" s="461">
        <f>IF(ISNUMBER((('Resol  Asuntos'!D17/NºAsuntos!G17)-Datos!BF17)/Datos!BF17),(('Resol  Asuntos'!D17/NºAsuntos!G17)-Datos!BF17)/Datos!BF17," - ")</f>
        <v>0.37499999999999994</v>
      </c>
      <c r="K17" s="462">
        <f>IF(ISNUMBER((((NºAsuntos!C17+NºAsuntos!E17)/NºAsuntos!G17)-Datos!BG17)/Datos!BG17),(((NºAsuntos!C17+NºAsuntos!E17)/NºAsuntos!G17)-Datos!BG17)/Datos!BG17," - ")</f>
        <v>-0.58899456521739124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0.16071428571428573</v>
      </c>
      <c r="C18" s="855">
        <f>IF(ISNUMBER(
   IF(Criterios!B14="SI",(Datos!J18-Datos!T18)/Datos!T18,(Datos!J18+Datos!AD18-(Datos!T18+Datos!AL18))/(Datos!T18+Datos!AL18))
     ),IF(Criterios!B14="SI",(Datos!J18-Datos!T18)/Datos!T18,(Datos!J18+Datos!AD18-(Datos!T18+Datos!AL18))/(Datos!T18+Datos!AL18))," - ")</f>
        <v>0.23886639676113361</v>
      </c>
      <c r="D18" s="855">
        <f>IF(ISNUMBER(
   IF(Criterios!B14="SI",(Datos!K18-Datos!U18)/Datos!U18,(Datos!K18+Datos!AE18-(Datos!U18+Datos!AM18))/(Datos!U18+Datos!AM18))
     ),IF(Criterios!B14="SI",(Datos!K18-Datos!U18)/Datos!U18,(Datos!K18+Datos!AE18-(Datos!U18+Datos!AM18))/(Datos!U18+Datos!AM18))," - ")</f>
        <v>0.68229166666666663</v>
      </c>
      <c r="E18" s="855">
        <f>IF(ISNUMBER(
   IF(Criterios!B14="SI",(Datos!L18-Datos!V18)/Datos!V18,(Datos!L18+Datos!AF18-(Datos!V18+Datos!AN18))/(Datos!V18+Datos!AN18))
     ),IF(Criterios!B14="SI",(Datos!L18-Datos!V18)/Datos!V18,(Datos!L18+Datos!AF18-(Datos!V18+Datos!AN18))/(Datos!V18+Datos!AN18))," - ")</f>
        <v>4.3026706231454007E-2</v>
      </c>
      <c r="F18" s="856">
        <f>IF(ISNUMBER((Datos!M18-Datos!W18)/Datos!W18),(Datos!M18-Datos!W18)/Datos!W18," - ")</f>
        <v>1.1764705882352942</v>
      </c>
      <c r="G18" s="857">
        <f>IF(ISNUMBER((Datos!N18-Datos!X18)/Datos!X18),(Datos!N18-Datos!X18)/Datos!X18," - ")</f>
        <v>0.36774193548387096</v>
      </c>
      <c r="H18" s="857">
        <f>IF(ISNUMBER(((NºAsuntos!G18/NºAsuntos!E18)-Datos!BD18)/Datos!BD18),((NºAsuntos!G18/NºAsuntos!E18)-Datos!BD18)/Datos!BD18," - ")</f>
        <v>0.35792824074074076</v>
      </c>
      <c r="I18" s="857">
        <f>IF(ISNUMBER(((NºAsuntos!I18/NºAsuntos!G18)-Datos!BE18)/Datos!BE18),((NºAsuntos!I18/NºAsuntos!G18)-Datos!BE18)/Datos!BE18," - ")</f>
        <v>-0.37999650898935244</v>
      </c>
      <c r="J18" s="857">
        <f>IF(ISNUMBER((('Resol  Asuntos'!D18/NºAsuntos!G18)-Datos!BF18)/Datos!BF18),(('Resol  Asuntos'!D18/NºAsuntos!G18)-Datos!BF18)/Datos!BF18," - ")</f>
        <v>0.29375341467856492</v>
      </c>
      <c r="K18" s="857">
        <f>IF(ISNUMBER((((NºAsuntos!C18+NºAsuntos!E18)/NºAsuntos!G18)-Datos!BG18)/Datos!BG18),(((NºAsuntos!C18+NºAsuntos!E18)/NºAsuntos!G18)-Datos!BG18)/Datos!BG18," - ")</f>
        <v>-0.29674366544812719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0.13333333333333333</v>
      </c>
      <c r="C19" s="802">
        <f>IF(ISNUMBER(
   IF(J_V="SI",(Datos!J19-Datos!T19)/Datos!T19,(Datos!J19+Datos!Z19-(Datos!T19+Datos!AH19))/(Datos!T19+Datos!AH19))
     ),IF(J_V="SI",(Datos!J19-Datos!T19)/Datos!T19,(Datos!J19+Datos!Z19-(Datos!T19+Datos!AH19))/(Datos!T19+Datos!AH19))," - ")</f>
        <v>0.22151898734177214</v>
      </c>
      <c r="D19" s="802">
        <f>IF(ISNUMBER(
   IF(J_V="SI",(Datos!K19-Datos!U19)/Datos!U19,(Datos!K19+Datos!AA19-(Datos!U19+Datos!AI19))/(Datos!U19+Datos!AI19))
     ),IF(J_V="SI",(Datos!K19-Datos!U19)/Datos!U19,(Datos!K19+Datos!AA19-(Datos!U19+Datos!AI19))/(Datos!U19+Datos!AI19))," - ")</f>
        <v>0.35542168674698793</v>
      </c>
      <c r="E19" s="802">
        <f>IF(ISNUMBER(
   IF(J_V="SI",(Datos!L19-Datos!V19)/Datos!V19,(Datos!L19+Datos!AB19-(Datos!V19+Datos!AJ19))/(Datos!V19+Datos!AJ19))
     ),IF(J_V="SI",(Datos!L19-Datos!V19)/Datos!V19,(Datos!L19+Datos!AB19-(Datos!V19+Datos!AJ19))/(Datos!V19+Datos!AJ19))," - ")</f>
        <v>0.11151079136690648</v>
      </c>
      <c r="F19" s="803">
        <f>IF(ISNUMBER((Datos!M19-Datos!W19)/Datos!W19),(Datos!M19-Datos!W19)/Datos!W19," - ")</f>
        <v>1.0227272727272727</v>
      </c>
      <c r="G19" s="804">
        <f>IF(ISNUMBER((Datos!N19-Datos!X19)/Datos!X19),(Datos!N19-Datos!X19)/Datos!X19," - ")</f>
        <v>0.1542056074766355</v>
      </c>
      <c r="H19" s="805">
        <f>IF(ISNUMBER((Tasas!B19-Datos!BD19)/Datos!BD19),(Tasas!B19-Datos!BD19)/Datos!BD19," - ")</f>
        <v>0.10961982645608338</v>
      </c>
      <c r="I19" s="806">
        <f>IF(ISNUMBER((Tasas!C19-Datos!BE19)/Datos!BE19),(Tasas!C19-Datos!BE19)/Datos!BE19," - ")</f>
        <v>-0.17995203836930454</v>
      </c>
      <c r="J19" s="807">
        <f>IF(ISNUMBER((Tasas!D19-Datos!BF19)/Datos!BF19),(Tasas!D19-Datos!BF19)/Datos!BF19," - ")</f>
        <v>-0.13602339181286546</v>
      </c>
      <c r="K19" s="807">
        <f>IF(ISNUMBER((Tasas!E19-Datos!BG19)/Datos!BG19),(Tasas!E19-Datos!BG19)/Datos!BG19," - ")</f>
        <v>-0.14591170577208967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8BLbOKAzCG46WDvI0xoXjxUfBPKUny8rKHqqrOsD04HGjhP27J3qcJfTe2W2e1/Cbz/t6SZiUllriNQE0kbJQ==" saltValue="+G+Wgmj8y4oeTLF/YKUX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TARAZONA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1.2857142857142858</v>
      </c>
      <c r="D10" s="444">
        <f>IF(ISNUMBER('Resol  Asuntos'!D10/NºAsuntos!G10),'Resol  Asuntos'!D10/NºAsuntos!G10," - ")</f>
        <v>0</v>
      </c>
      <c r="E10" s="445">
        <f>IF(ISNUMBER((NºAsuntos!C10+NºAsuntos!E10)/NºAsuntos!G10),(NºAsuntos!C10+NºAsuntos!E10)/NºAsuntos!G10," - ")</f>
        <v>2.2857142857142856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0.45112781954887216</v>
      </c>
      <c r="C12" s="443">
        <f>IF(ISNUMBER(NºAsuntos!I12/NºAsuntos!G12),NºAsuntos!I12/NºAsuntos!G12," - ")</f>
        <v>6.9416666666666664</v>
      </c>
      <c r="D12" s="444">
        <f>IF(ISNUMBER('Resol  Asuntos'!D12/NºAsuntos!G12),'Resol  Asuntos'!D12/NºAsuntos!G12," - ")</f>
        <v>0.43333333333333335</v>
      </c>
      <c r="E12" s="445">
        <f>IF(ISNUMBER((NºAsuntos!C12+NºAsuntos!E12)/NºAsuntos!G12),(NºAsuntos!C12+NºAsuntos!E12)/NºAsuntos!G12," - ")</f>
        <v>7.9416666666666664</v>
      </c>
      <c r="G12" s="463"/>
    </row>
    <row r="13" spans="1:7" ht="14.25" thickTop="1" thickBot="1">
      <c r="A13" s="848" t="str">
        <f>Datos!A13</f>
        <v>TOTAL</v>
      </c>
      <c r="B13" s="858">
        <f>IF(ISNUMBER(NºAsuntos!G13/NºAsuntos!E13),NºAsuntos!G13/NºAsuntos!E13," - ")</f>
        <v>0.46520146520146521</v>
      </c>
      <c r="C13" s="859">
        <f>IF(ISNUMBER(NºAsuntos!I13/NºAsuntos!G13),NºAsuntos!I13/NºAsuntos!G13," - ")</f>
        <v>6.6299212598425195</v>
      </c>
      <c r="D13" s="860">
        <f>IF(ISNUMBER('Resol  Asuntos'!D13/NºAsuntos!G13),'Resol  Asuntos'!D13/NºAsuntos!G13," - ")</f>
        <v>0.40944881889763779</v>
      </c>
      <c r="E13" s="861">
        <f>IF(ISNUMBER((NºAsuntos!C13+NºAsuntos!E13)/NºAsuntos!G13),(NºAsuntos!C13+NºAsuntos!E13)/NºAsuntos!G13," - ")</f>
        <v>7.6299212598425195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1.0586206896551724</v>
      </c>
      <c r="C16" s="443">
        <f>IF(ISNUMBER(NºAsuntos!I16/NºAsuntos!G16),NºAsuntos!I16/NºAsuntos!G16," - ")</f>
        <v>2.1628664495114007</v>
      </c>
      <c r="D16" s="444">
        <f>IF(ISNUMBER('Resol  Asuntos'!D16/NºAsuntos!G16),'Resol  Asuntos'!D16/NºAsuntos!G16," - ")</f>
        <v>0.11400651465798045</v>
      </c>
      <c r="E16" s="445">
        <f>IF(ISNUMBER((NºAsuntos!C16+NºAsuntos!E16)/NºAsuntos!G16),(NºAsuntos!C16+NºAsuntos!E16)/NºAsuntos!G16," - ")</f>
        <v>3.1465798045602607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2.4375</v>
      </c>
      <c r="D17" s="444">
        <f>IF(ISNUMBER('Resol  Asuntos'!D17/NºAsuntos!G17),'Resol  Asuntos'!D17/NºAsuntos!G17," - ")</f>
        <v>0.125</v>
      </c>
      <c r="E17" s="445">
        <f>IF(ISNUMBER((NºAsuntos!C17+NºAsuntos!E17)/NºAsuntos!G17),(NºAsuntos!C17+NºAsuntos!E17)/NºAsuntos!G17," - ")</f>
        <v>3.4375</v>
      </c>
      <c r="G17" s="463"/>
    </row>
    <row r="18" spans="1:7" ht="14.25" thickTop="1" thickBot="1">
      <c r="A18" s="848" t="str">
        <f>Datos!A18</f>
        <v>TOTAL</v>
      </c>
      <c r="B18" s="858">
        <f>IF(ISNUMBER(NºAsuntos!G18/NºAsuntos!E18),NºAsuntos!G18/NºAsuntos!E18," - ")</f>
        <v>1.0555555555555556</v>
      </c>
      <c r="C18" s="859">
        <f>IF(ISNUMBER(NºAsuntos!I18/NºAsuntos!G18),NºAsuntos!I18/NºAsuntos!G18," - ")</f>
        <v>2.1764705882352939</v>
      </c>
      <c r="D18" s="862">
        <f>IF(ISNUMBER('Resol  Asuntos'!D18/NºAsuntos!G18),'Resol  Asuntos'!D18/NºAsuntos!G18," - ")</f>
        <v>0.11455108359133127</v>
      </c>
      <c r="E18" s="861">
        <f>IF(ISNUMBER((NºAsuntos!C18+NºAsuntos!E18)/NºAsuntos!G18),(NºAsuntos!C18+NºAsuntos!E18)/NºAsuntos!G18," - ")</f>
        <v>3.1609907120743035</v>
      </c>
      <c r="G18" s="463"/>
    </row>
    <row r="19" spans="1:7" ht="15.75" customHeight="1" thickTop="1" thickBot="1">
      <c r="A19" s="793" t="str">
        <f>Datos!A19</f>
        <v>TOTAL JURISDICCIONES</v>
      </c>
      <c r="B19" s="808">
        <f>IF(ISNUMBER(NºAsuntos!G19/NºAsuntos!E19),NºAsuntos!G19/NºAsuntos!E19," - ")</f>
        <v>0.77720207253886009</v>
      </c>
      <c r="C19" s="809">
        <f>IF(ISNUMBER(NºAsuntos!I19/NºAsuntos!G19),NºAsuntos!I19/NºAsuntos!G19," - ")</f>
        <v>3.4333333333333331</v>
      </c>
      <c r="D19" s="810">
        <f>IF(ISNUMBER('Resol  Asuntos'!D19/NºAsuntos!G19),'Resol  Asuntos'!D19/NºAsuntos!G19," - ")</f>
        <v>0.19777777777777777</v>
      </c>
      <c r="E19" s="811">
        <f>IF(ISNUMBER((NºAsuntos!C19+NºAsuntos!E19)/NºAsuntos!G19),(NºAsuntos!C19+NºAsuntos!E19)/NºAsuntos!G19," - ")</f>
        <v>4.4222222222222225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9Qjy8LtYbJYWs2EcACff44XjMYj7UPt6yd8p0m8kEnc7U5w0Bi8Yu0wrxwDbBPM4jENDkVw3Y5kGQBuq3ca5A==" saltValue="aoiBz9qsUzzRlxikyN7S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TARAZONA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3.8571428571428577</v>
      </c>
      <c r="AN10" s="244">
        <f>IF(ISNUMBER('Resol  Asuntos'!D10/NºAsuntos!G10),'Resol  Asuntos'!D10/NºAsuntos!G10," - ")</f>
        <v>0</v>
      </c>
      <c r="AO10" s="245">
        <f>IF(ISNUMBER((NºAsuntos!C10+NºAsuntos!E10)/NºAsuntos!G10),(NºAsuntos!C10+NºAsuntos!E10)/NºAsuntos!G10," - ")</f>
        <v>2.2857142857142856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v>
      </c>
      <c r="Y12" s="334">
        <f t="shared" si="0"/>
        <v>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v>
      </c>
      <c r="AJ12" s="229" t="str">
        <f>IF(ISNUMBER(Datos!BW12),Datos!BW12," - ")</f>
        <v xml:space="preserve"> - </v>
      </c>
      <c r="AK12" s="228" t="str">
        <f>IF(ISNUMBER(Datos!BX12),Datos!BX12," - ")</f>
        <v xml:space="preserve"> - </v>
      </c>
      <c r="AL12" s="243">
        <f>IF(ISNUMBER(NºAsuntos!G12/NºAsuntos!E12),NºAsuntos!G12/NºAsuntos!E12," - ")</f>
        <v>0.45112781954887216</v>
      </c>
      <c r="AM12" s="260">
        <f>IF(ISNUMBER(((NºAsuntos!I12/NºAsuntos!G12)*11)/factor_trimestre),((NºAsuntos!I12/NºAsuntos!G12)*11)/factor_trimestre," - ")</f>
        <v>20.825000000000003</v>
      </c>
      <c r="AN12" s="244">
        <f>IF(ISNUMBER('Resol  Asuntos'!D12/NºAsuntos!G12),'Resol  Asuntos'!D12/NºAsuntos!G12," - ")</f>
        <v>0.43333333333333335</v>
      </c>
      <c r="AO12" s="245">
        <f>IF(ISNUMBER((NºAsuntos!C12+NºAsuntos!E12)/NºAsuntos!G12),(NºAsuntos!C12+NºAsuntos!E12)/NºAsuntos!G12," - ")</f>
        <v>7.9416666666666664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70</v>
      </c>
      <c r="Y13" s="868">
        <f t="shared" si="4"/>
        <v>77</v>
      </c>
      <c r="Z13" s="868">
        <f t="shared" si="4"/>
        <v>0</v>
      </c>
      <c r="AA13" s="868">
        <f t="shared" si="4"/>
        <v>9</v>
      </c>
      <c r="AB13" s="868">
        <f t="shared" si="4"/>
        <v>545</v>
      </c>
      <c r="AC13" s="868">
        <f t="shared" si="4"/>
        <v>11</v>
      </c>
      <c r="AD13" s="868">
        <f t="shared" si="4"/>
        <v>0</v>
      </c>
      <c r="AE13" s="872">
        <f t="shared" si="4"/>
        <v>0</v>
      </c>
      <c r="AF13" s="865">
        <f t="shared" si="4"/>
        <v>0</v>
      </c>
      <c r="AG13" s="873">
        <f t="shared" si="4"/>
        <v>0</v>
      </c>
      <c r="AH13" s="870">
        <f t="shared" si="4"/>
        <v>0</v>
      </c>
      <c r="AI13" s="865">
        <f t="shared" si="4"/>
        <v>52</v>
      </c>
      <c r="AJ13" s="867">
        <f t="shared" si="4"/>
        <v>0</v>
      </c>
      <c r="AK13" s="870">
        <f>SUBTOTAL(9,AK9:AK12)</f>
        <v>0</v>
      </c>
      <c r="AL13" s="874">
        <f>IF(ISNUMBER(NºAsuntos!G13/NºAsuntos!E13),NºAsuntos!G13/NºAsuntos!E13," - ")</f>
        <v>0.46520146520146521</v>
      </c>
      <c r="AM13" s="874">
        <f>IF(ISNUMBER(((NºAsuntos!I13/NºAsuntos!G13)*11)/factor_trimestre),((NºAsuntos!I13/NºAsuntos!G13)*11)/factor_trimestre," - ")</f>
        <v>19.889763779527559</v>
      </c>
      <c r="AN13" s="875">
        <f>IF(ISNUMBER('Resol  Asuntos'!D13/NºAsuntos!G13),'Resol  Asuntos'!D13/NºAsuntos!G13," - ")</f>
        <v>0.40944881889763779</v>
      </c>
      <c r="AO13" s="876">
        <f>IF(ISNUMBER((NºAsuntos!C13+NºAsuntos!E13)/NºAsuntos!G13),(NºAsuntos!C13+NºAsuntos!E13)/NºAsuntos!G13," - ")</f>
        <v>7.6299212598425195</v>
      </c>
      <c r="AP13" s="877" t="str">
        <f t="shared" si="2"/>
        <v xml:space="preserve"> - </v>
      </c>
      <c r="AQ13" s="877">
        <f>IF(ISNUMBER((H13-W13+K13)/(F13)),(H13-W13+K13)/(F13)," - ")</f>
        <v>-0.77777777777777779</v>
      </c>
      <c r="AR13" s="878">
        <f>IF(ISNUMBER((Datos!P13-Datos!Q13)/(Datos!R13-Datos!P13+Datos!Q13)),(Datos!P13-Datos!Q13)/(Datos!R13-Datos!P13+Datos!Q13)," - ")</f>
        <v>-5.7093425605536333E-2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681</v>
      </c>
      <c r="G16" s="333">
        <f>IF(ISNUMBER(IF(D_I="SI",Datos!I16,Datos!I16+Datos!AC16)),IF(D_I="SI",Datos!I16,Datos!I16+Datos!AC16)," - ")</f>
        <v>676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307</v>
      </c>
      <c r="X16" s="226">
        <f>IF(ISNUMBER(Datos!Q16),Datos!Q16," - ")</f>
        <v>4</v>
      </c>
      <c r="Y16" s="334">
        <f t="shared" ref="Y16:Y17" si="7">SUM(W16:X16)</f>
        <v>311</v>
      </c>
      <c r="Z16" s="335" t="str">
        <f>IF(ISNUMBER(Datos!CC16),Datos!CC16," - ")</f>
        <v xml:space="preserve"> - </v>
      </c>
      <c r="AA16" s="332">
        <f>IF(ISNUMBER(IF(D_I="SI",Datos!L16,Datos!L16+Datos!AF16)),IF(D_I="SI",Datos!L16,Datos!L16+Datos!AF16)," - ")</f>
        <v>664</v>
      </c>
      <c r="AB16" s="334">
        <f>IF(ISNUMBER(Datos!R16),Datos!R16," - ")</f>
        <v>36</v>
      </c>
      <c r="AC16" s="334">
        <f t="shared" si="6"/>
        <v>700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1.0586206896551724</v>
      </c>
      <c r="AM16" s="260">
        <f>IF(ISNUMBER(((NºAsuntos!I16/NºAsuntos!G16)*11)/factor_trimestre),((NºAsuntos!I16/NºAsuntos!G16)*11)/factor_trimestre," - ")</f>
        <v>6.4885993485342022</v>
      </c>
      <c r="AN16" s="244">
        <f>IF(ISNUMBER('Resol  Asuntos'!D16/NºAsuntos!G16),'Resol  Asuntos'!D16/NºAsuntos!G16," - ")</f>
        <v>0.11400651465798045</v>
      </c>
      <c r="AO16" s="245">
        <f>IF(ISNUMBER((NºAsuntos!C16+NºAsuntos!E16)/NºAsuntos!G16),(NºAsuntos!C16+NºAsuntos!E16)/NºAsuntos!G16," - ")</f>
        <v>3.1465798045602607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7.3125</v>
      </c>
      <c r="AN17" s="244">
        <f>IF(ISNUMBER('Resol  Asuntos'!D17/NºAsuntos!G17),'Resol  Asuntos'!D17/NºAsuntos!G17," - ")</f>
        <v>0.125</v>
      </c>
      <c r="AO17" s="245">
        <f>IF(ISNUMBER((NºAsuntos!C17+NºAsuntos!E17)/NºAsuntos!G17),(NºAsuntos!C17+NºAsuntos!E17)/NºAsuntos!G17," - ")</f>
        <v>3.4375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681</v>
      </c>
      <c r="G18" s="866">
        <f>SUBTOTAL(9,G15:G17)</f>
        <v>715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323</v>
      </c>
      <c r="X18" s="867">
        <f t="shared" si="11"/>
        <v>4</v>
      </c>
      <c r="Y18" s="868">
        <f t="shared" si="11"/>
        <v>327</v>
      </c>
      <c r="Z18" s="868">
        <f t="shared" si="11"/>
        <v>0</v>
      </c>
      <c r="AA18" s="868">
        <f t="shared" si="11"/>
        <v>703</v>
      </c>
      <c r="AB18" s="868">
        <f t="shared" si="11"/>
        <v>36</v>
      </c>
      <c r="AC18" s="868">
        <f t="shared" si="11"/>
        <v>739</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1.0555555555555556</v>
      </c>
      <c r="AM18" s="874">
        <f>IF(ISNUMBER(((NºAsuntos!I18/NºAsuntos!G18)*11)/factor_trimestre),((NºAsuntos!I18/NºAsuntos!G18)*11)/factor_trimestre," - ")</f>
        <v>6.5294117647058814</v>
      </c>
      <c r="AN18" s="875">
        <f>IF(ISNUMBER('Resol  Asuntos'!D18/NºAsuntos!G18),'Resol  Asuntos'!D18/NºAsuntos!G18," - ")</f>
        <v>0.11455108359133127</v>
      </c>
      <c r="AO18" s="876">
        <f>IF(ISNUMBER((NºAsuntos!C18+NºAsuntos!E18)/NºAsuntos!G18),(NºAsuntos!C18+NºAsuntos!E18)/NºAsuntos!G18," - ")</f>
        <v>3.1609907120743035</v>
      </c>
      <c r="AP18" s="877" t="str">
        <f t="shared" si="2"/>
        <v xml:space="preserve"> - </v>
      </c>
      <c r="AQ18" s="877">
        <f>IF(ISNUMBER((H18-W18+K18)/(F18)),(H18-W18+K18)/(F18)," - ")</f>
        <v>-0.47430249632892807</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690</v>
      </c>
      <c r="G19" s="821">
        <f t="shared" si="13"/>
        <v>724</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330</v>
      </c>
      <c r="X19" s="821">
        <f t="shared" si="14"/>
        <v>74</v>
      </c>
      <c r="Y19" s="828">
        <f t="shared" si="14"/>
        <v>404</v>
      </c>
      <c r="Z19" s="828">
        <f t="shared" si="14"/>
        <v>0</v>
      </c>
      <c r="AA19" s="828">
        <f t="shared" si="14"/>
        <v>712</v>
      </c>
      <c r="AB19" s="828">
        <f t="shared" si="14"/>
        <v>581</v>
      </c>
      <c r="AC19" s="828">
        <f t="shared" si="14"/>
        <v>750</v>
      </c>
      <c r="AD19" s="828">
        <f t="shared" si="14"/>
        <v>0</v>
      </c>
      <c r="AE19" s="830">
        <f t="shared" si="14"/>
        <v>0</v>
      </c>
      <c r="AF19" s="831">
        <f t="shared" si="14"/>
        <v>0</v>
      </c>
      <c r="AG19" s="832">
        <f t="shared" si="14"/>
        <v>0</v>
      </c>
      <c r="AH19" s="830">
        <f t="shared" si="14"/>
        <v>0</v>
      </c>
      <c r="AI19" s="820">
        <f t="shared" si="14"/>
        <v>89</v>
      </c>
      <c r="AJ19" s="820">
        <f t="shared" si="14"/>
        <v>0</v>
      </c>
      <c r="AK19" s="830">
        <f t="shared" si="14"/>
        <v>0</v>
      </c>
      <c r="AL19" s="884">
        <f>IF(ISNUMBER(NºAsuntos!G19/NºAsuntos!E19),NºAsuntos!G19/NºAsuntos!E19," - ")</f>
        <v>0.77720207253886009</v>
      </c>
      <c r="AM19" s="885">
        <f>IF(ISNUMBER(((NºAsuntos!I19/NºAsuntos!G19)*11)/factor_trimestre),((NºAsuntos!I19/NºAsuntos!G19)*11)/factor_trimestre," - ")</f>
        <v>10.3</v>
      </c>
      <c r="AN19" s="885">
        <f>IF(ISNUMBER('Resol  Asuntos'!D19/NºAsuntos!G19),'Resol  Asuntos'!D19/NºAsuntos!G19," - ")</f>
        <v>0.19777777777777777</v>
      </c>
      <c r="AO19" s="886">
        <f>IF(ISNUMBER((NºAsuntos!C19+NºAsuntos!E19)/NºAsuntos!G19),(NºAsuntos!C19+NºAsuntos!E19)/NºAsuntos!G19," - ")</f>
        <v>4.4222222222222225</v>
      </c>
      <c r="AP19" s="887" t="str">
        <f t="shared" si="2"/>
        <v xml:space="preserve"> - </v>
      </c>
      <c r="AQ19" s="888">
        <f>IF(OR(ISNUMBER(FIND("01",Criterios!A8,1)),ISNUMBER(FIND("02",Criterios!A8,1)),ISNUMBER(FIND("03",Criterios!A8,1)),ISNUMBER(FIND("04",Criterios!A8,1))),(I19-W19+K19)/(F19-K19),(H19-W19+K19)/(F19-K19))</f>
        <v>-0.47826086956521741</v>
      </c>
      <c r="AR19" s="889">
        <f>IF(ISNUMBER((Datos!P19-Datos!Q19)/(Datos!R19-Datos!P19+Datos!Q19)),(Datos!P19-Datos!Q19)/(Datos!R19-Datos!P19+Datos!Q19)," - ")</f>
        <v>-4.9099836333878884E-2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387.97938089542851</v>
      </c>
      <c r="G21" s="253">
        <f>IF(ISNUMBER(STDEV(G8:G18)),STDEV(G8:G18),"-")</f>
        <v>370.99299184755495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167.19150696132863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23.346662859318172</v>
      </c>
      <c r="AJ21" s="252">
        <f t="shared" si="18"/>
        <v>0</v>
      </c>
      <c r="AK21" s="254">
        <f t="shared" si="18"/>
        <v>0</v>
      </c>
      <c r="AL21" s="249">
        <f t="shared" si="18"/>
        <v>0.29568215831594968</v>
      </c>
      <c r="AM21" s="250">
        <f t="shared" si="18"/>
        <v>7.4875189928846719</v>
      </c>
      <c r="AN21" s="250">
        <f t="shared" si="18"/>
        <v>0.17811929492018505</v>
      </c>
      <c r="AO21" s="251">
        <f t="shared" si="18"/>
        <v>2.4995063763169396</v>
      </c>
      <c r="AP21" s="291" t="str">
        <f t="shared" si="18"/>
        <v>-</v>
      </c>
      <c r="AQ21" s="292">
        <f t="shared" si="18"/>
        <v>0.21458942943497775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SqIUhWq+59W7oy7YPgqBd2XxRv+EhNVar24DUaKoNZ63DkwrhD+G+MJTME1BkaoPrBCFouD2cE972YeKiQF7Q==" saltValue="P/6HUjGCgSaQC08JrcjZ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TARAZONA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6</v>
      </c>
      <c r="F10" s="348" t="str">
        <f>IF(ISNUMBER((Datos!K10-Datos!U10)/Datos!U10),(Datos!K10-Datos!U10)/Datos!U10," - ")</f>
        <v xml:space="preserve"> - </v>
      </c>
      <c r="G10" s="349">
        <f>IF(ISNUMBER((Datos!L10-Datos!V10)/Datos!V10),(Datos!L10-Datos!V10)/Datos!V10," - ")</f>
        <v>-0.1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0.92592592592592593</v>
      </c>
      <c r="I12" s="350">
        <f>IF(ISNUMBER((Tasas!C12-Datos!BE12)/Datos!BE12),(Tasas!C12-Datos!BE12)/Datos!BE12," - ")</f>
        <v>0.37653446647780925</v>
      </c>
      <c r="J12" s="349">
        <f>IF(ISNUMBER((Tasas!D12-Datos!BF12)/Datos!BF12),(Tasas!D12-Datos!BF12)/Datos!BF12," - ")</f>
        <v>2.82485875706215E-2</v>
      </c>
      <c r="K12" s="351">
        <f>IF(ISNUMBER((Tasas!E12-Datos!BG12)/Datos!BG12),(Tasas!E12-Datos!BG12)/Datos!BG12," - ")</f>
        <v>0.31422379826635144</v>
      </c>
      <c r="M12" t="e">
        <f>IF(Monitorios="SI",Datos!CE12,0)</f>
        <v>#REF!</v>
      </c>
      <c r="N12" t="e">
        <f>IF(Monitorios="SI",Datos!CF12,0)</f>
        <v>#REF!</v>
      </c>
      <c r="O12" t="e">
        <f>IF(Monitorios="SI",Datos!CG12,0)</f>
        <v>#REF!</v>
      </c>
      <c r="P12" t="e">
        <f>IF(Monitorios="SI",Datos!CH12,0)</f>
        <v>#REF!</v>
      </c>
      <c r="Q12">
        <f>IF(J_V="SI",0,Datos!AG12)</f>
        <v>14</v>
      </c>
      <c r="R12">
        <f>IF(J_V="SI",0,Datos!AH12)</f>
        <v>9</v>
      </c>
      <c r="S12">
        <f>IF(J_V="SI",0,Datos!AI12)</f>
        <v>16</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0.92592592592592593</v>
      </c>
      <c r="I13" s="357">
        <f>IF(ISNUMBER((Tasas!C13-Datos!BE13)/Datos!BE13),(Tasas!C13-Datos!BE13)/Datos!BE13," - ")</f>
        <v>0.29635331896362122</v>
      </c>
      <c r="J13" s="355">
        <f>IF(ISNUMBER((Tasas!D13-Datos!BF13)/Datos!BF13),(Tasas!D13-Datos!BF13)/Datos!BF13," - ")</f>
        <v>-2.8426531429334063E-2</v>
      </c>
      <c r="K13" s="358">
        <f>IF(ISNUMBER((Tasas!E13-Datos!BG13)/Datos!BG13),(Tasas!E13-Datos!BG13)/Datos!BG13," - ")</f>
        <v>0.24788431819854298</v>
      </c>
      <c r="M13" t="e">
        <f>IF(Monitorios="SI",Datos!CE13,0)</f>
        <v>#REF!</v>
      </c>
      <c r="N13" t="e">
        <f>IF(Monitorios="SI",Datos!CF13,0)</f>
        <v>#REF!</v>
      </c>
      <c r="O13" t="e">
        <f>IF(Monitorios="SI",Datos!CG13,0)</f>
        <v>#REF!</v>
      </c>
      <c r="P13" t="e">
        <f>IF(Monitorios="SI",Datos!CH13,0)</f>
        <v>#REF!</v>
      </c>
      <c r="Q13">
        <f>IF(J_V="SI",0,Datos!AG13)</f>
        <v>14</v>
      </c>
      <c r="R13">
        <f>IF(J_V="SI",0,Datos!AH13)</f>
        <v>9</v>
      </c>
      <c r="S13">
        <f>IF(J_V="SI",0,Datos!AI13)</f>
        <v>16</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0.23357664233576642</v>
      </c>
      <c r="E16" s="348">
        <f>IF(ISNUMBER(
   IF(D_I="SI",(Datos!J16-Datos!T16)/Datos!T16,(Datos!J16+Datos!AD16-(Datos!T16+Datos!AL16))/(Datos!T16+Datos!AL16))
     ),IF(D_I="SI",(Datos!J16-Datos!T16)/Datos!T16,(Datos!J16+Datos!AD16-(Datos!T16+Datos!AL16))/(Datos!T16+Datos!AL16))," - ")</f>
        <v>0.30044843049327352</v>
      </c>
      <c r="F16" s="348">
        <f>IF(ISNUMBER(
   IF(D_I="SI",(Datos!K16-Datos!U16)/Datos!U16,(Datos!K16+Datos!AE16-(Datos!U16+Datos!AM16))/(Datos!U16+Datos!AM16))
     ),IF(D_I="SI",(Datos!K16-Datos!U16)/Datos!U16,(Datos!K16+Datos!AE16-(Datos!U16+Datos!AM16))/(Datos!U16+Datos!AM16))," - ")</f>
        <v>0.69613259668508287</v>
      </c>
      <c r="G16" s="349">
        <f>IF(ISNUMBER(
   IF(D_I="SI",(Datos!L16-Datos!V16)/Datos!V16,(Datos!L16+Datos!AF16-(Datos!V16+Datos!AN16))/(Datos!V16+Datos!AN16))
     ),IF(D_I="SI",(Datos!L16-Datos!V16)/Datos!V16,(Datos!L16+Datos!AF16-(Datos!V16+Datos!AN16))/(Datos!V16+Datos!AN16))," - ")</f>
        <v>0.11973018549747048</v>
      </c>
      <c r="H16" s="230">
        <f>IF(ISNUMBER((Datos!M16-Datos!W16)/Datos!W16),(Datos!M16-Datos!W16)/Datos!W16," - ")</f>
        <v>1.1875</v>
      </c>
      <c r="I16" s="350">
        <f>IF(ISNUMBER((Tasas!C16-Datos!BE16)/Datos!BE16),(Tasas!C16-Datos!BE16)/Datos!BE16," - ")</f>
        <v>-0.33983334340377142</v>
      </c>
      <c r="J16" s="349">
        <f>IF(ISNUMBER((Tasas!D16-Datos!BF16)/Datos!BF16),(Tasas!D16-Datos!BF16)/Datos!BF16," - ")</f>
        <v>0.2896986970684039</v>
      </c>
      <c r="K16" s="351">
        <f>IF(ISNUMBER((Tasas!E16-Datos!BG16)/Datos!BG16),(Tasas!E16-Datos!BG16)/Datos!BG16," - ")</f>
        <v>-0.26130876183475071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-0.4264705882352941</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0.45454545454545453</v>
      </c>
      <c r="G17" s="349">
        <f>IF(ISNUMBER(
   IF(D_I="SI",(Datos!L17-Datos!V17)/Datos!V17,(Datos!L17+Datos!AF17-(Datos!V17+Datos!AN17))/(Datos!V17+Datos!AN17))
     ),IF(D_I="SI",(Datos!L17-Datos!V17)/Datos!V17,(Datos!L17+Datos!AF17-(Datos!V17+Datos!AN17))/(Datos!V17+Datos!AN17))," - ")</f>
        <v>-0.51851851851851849</v>
      </c>
      <c r="H17" s="230">
        <f>IF(ISNUMBER((Datos!M17-Datos!W17)/Datos!W17),(Datos!M17-Datos!W17)/Datos!W17," - ")</f>
        <v>1</v>
      </c>
      <c r="I17" s="350">
        <f>IF(ISNUMBER((Tasas!C17-Datos!BE17)/Datos!BE17),(Tasas!C17-Datos!BE17)/Datos!BE17," - ")</f>
        <v>-0.66898148148148151</v>
      </c>
      <c r="J17" s="349">
        <f>IF(ISNUMBER((Tasas!D17-Datos!BF17)/Datos!BF17),(Tasas!D17-Datos!BF17)/Datos!BF17," - ")</f>
        <v>0.37499999999999994</v>
      </c>
      <c r="K17" s="351">
        <f>IF(ISNUMBER((Tasas!E17-Datos!BG17)/Datos!BG17),(Tasas!E17-Datos!BG17)/Datos!BG17," - ")</f>
        <v>-0.58899456521739124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0.16071428571428573</v>
      </c>
      <c r="E18" s="354">
        <f>IF(ISNUMBER(
   IF(D_I="SI",(Datos!J18-Datos!T18)/Datos!T18,(Datos!J18+Datos!AD18-(Datos!T18+Datos!AL18))/(Datos!T18+Datos!AL18))
     ),IF(D_I="SI",(Datos!J18-Datos!T18)/Datos!T18,(Datos!J18+Datos!AD18-(Datos!T18+Datos!AL18))/(Datos!T18+Datos!AL18))," - ")</f>
        <v>0.23886639676113361</v>
      </c>
      <c r="F18" s="354">
        <f>IF(ISNUMBER(
   IF(D_I="SI",(Datos!K18-Datos!U18)/Datos!U18,(Datos!K18+Datos!AE18-(Datos!U18+Datos!AM18))/(Datos!U18+Datos!AM18))
     ),IF(D_I="SI",(Datos!K18-Datos!U18)/Datos!U18,(Datos!K18+Datos!AE18-(Datos!U18+Datos!AM18))/(Datos!U18+Datos!AM18))," - ")</f>
        <v>0.68229166666666663</v>
      </c>
      <c r="G18" s="355">
        <f>IF(ISNUMBER(
   IF(D_I="SI",(Datos!L18-Datos!V18)/Datos!V18,(Datos!L18+Datos!AF18-(Datos!V18+Datos!AN18))/(Datos!V18+Datos!AN18))
     ),IF(D_I="SI",(Datos!L18-Datos!V18)/Datos!V18,(Datos!L18+Datos!AF18-(Datos!V18+Datos!AN18))/(Datos!V18+Datos!AN18))," - ")</f>
        <v>4.3026706231454007E-2</v>
      </c>
      <c r="H18" s="356">
        <f>IF(ISNUMBER((Datos!M18-Datos!W18)/Datos!W18),(Datos!M18-Datos!W18)/Datos!W18," - ")</f>
        <v>1.1764705882352942</v>
      </c>
      <c r="I18" s="357">
        <f>IF(ISNUMBER((Tasas!C18-Datos!BE18)/Datos!BE18),(Tasas!C18-Datos!BE18)/Datos!BE18," - ")</f>
        <v>-0.37999650898935244</v>
      </c>
      <c r="J18" s="355">
        <f>IF(ISNUMBER((Tasas!D18-Datos!BF18)/Datos!BF18),(Tasas!D18-Datos!BF18)/Datos!BF18," - ")</f>
        <v>0.29375341467856492</v>
      </c>
      <c r="K18" s="358">
        <f>IF(ISNUMBER((Tasas!E18-Datos!BG18)/Datos!BG18),(Tasas!E18-Datos!BG18)/Datos!BG18," - ")</f>
        <v>-0.29674366544812719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0.13333333333333333</v>
      </c>
      <c r="E19" s="363">
        <f>IF(ISNUMBER(
   IF(J_V="SI",(Datos!J19-Datos!T19)/Datos!T19,(Datos!J19+Datos!Z19-(Datos!T19+Datos!AH19))/(Datos!T19+Datos!AH19))
     ),IF(J_V="SI",(Datos!J19-Datos!T19)/Datos!T19,(Datos!J19+Datos!Z19-(Datos!T19+Datos!AH19))/(Datos!T19+Datos!AH19))," - ")</f>
        <v>0.22151898734177214</v>
      </c>
      <c r="F19" s="363">
        <f>IF(ISNUMBER(
   IF(J_V="SI",(Datos!K19-Datos!U19)/Datos!U19,(Datos!K19+Datos!AA19-(Datos!U19+Datos!AI19))/(Datos!U19+Datos!AI19))
     ),IF(J_V="SI",(Datos!K19-Datos!U19)/Datos!U19,(Datos!K19+Datos!AA19-(Datos!U19+Datos!AI19))/(Datos!U19+Datos!AI19))," - ")</f>
        <v>0.35542168674698793</v>
      </c>
      <c r="G19" s="364">
        <f>IF(ISNUMBER(
   IF(J_V="SI",(Datos!L19-Datos!V19)/Datos!V19,(Datos!L19+Datos!AB19-(Datos!V19+Datos!AJ19))/(Datos!V19+Datos!AJ19))
     ),IF(J_V="SI",(Datos!L19-Datos!V19)/Datos!V19,(Datos!L19+Datos!AB19-(Datos!V19+Datos!AJ19))/(Datos!V19+Datos!AJ19))," - ")</f>
        <v>0.11151079136690648</v>
      </c>
      <c r="H19" s="365">
        <f>IF(ISNUMBER((Datos!M19-Datos!W19)/Datos!W19),(Datos!M19-Datos!W19)/Datos!W19," - ")</f>
        <v>1.0227272727272727</v>
      </c>
      <c r="I19" s="362">
        <f>IF(ISNUMBER((Tasas!C19-Datos!BE19)/Datos!BE19),(Tasas!C19-Datos!BE19)/Datos!BE19," - ")</f>
        <v>-0.17995203836930454</v>
      </c>
      <c r="J19" s="363">
        <f>IF(ISNUMBER((Tasas!D19-Datos!BF19)/Datos!BF19),(Tasas!D19-Datos!BF19)/Datos!BF19," - ")</f>
        <v>-0.13602339181286546</v>
      </c>
      <c r="K19" s="364">
        <f>IF(ISNUMBER((Tasas!E19-Datos!BG19)/Datos!BG19),(Tasas!E19-Datos!BG19)/Datos!BG19," - ")</f>
        <v>-0.14591170577208967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0.29552518757564022</v>
      </c>
      <c r="E21" s="278">
        <f t="shared" si="1"/>
        <v>2.9793671559732235</v>
      </c>
      <c r="F21" s="278">
        <f t="shared" si="1"/>
        <v>0.13566150014314252</v>
      </c>
      <c r="G21" s="279">
        <f t="shared" si="1"/>
        <v>0.2846743190042213</v>
      </c>
      <c r="H21" s="285">
        <f t="shared" si="1"/>
        <v>0.13034204068808578</v>
      </c>
      <c r="I21" s="277">
        <f t="shared" si="1"/>
        <v>0.45675881473828478</v>
      </c>
      <c r="J21" s="278">
        <f t="shared" si="1"/>
        <v>0.17943632431791767</v>
      </c>
      <c r="K21" s="279">
        <f t="shared" si="1"/>
        <v>0.38568322582042897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bBROiWP8yZ2ANZOUwMyEz6Q8bX4Hhy5oCi8RMNQzIuHHFBMwt1W9QspGUSJqoWxwKvqOYvG9Y/LOypIt99LcA==" saltValue="wrnXqLnwlIuKaq/VXNyL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